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18"/>
  <workbookPr/>
  <mc:AlternateContent xmlns:mc="http://schemas.openxmlformats.org/markup-compatibility/2006">
    <mc:Choice Requires="x15">
      <x15ac:absPath xmlns:x15ac="http://schemas.microsoft.com/office/spreadsheetml/2010/11/ac" url="https://delfrikirken.sharepoint.com/teams/Ekstraordinrtsynodemte2022/Delte dokumenter/General/Økonomi og statistikk 2024/"/>
    </mc:Choice>
  </mc:AlternateContent>
  <xr:revisionPtr revIDLastSave="404" documentId="14_{064D6D70-F1AB-4461-9AB0-B5F471400605}" xr6:coauthVersionLast="47" xr6:coauthVersionMax="47" xr10:uidLastSave="{6D79BEAB-6FCD-4D2B-9F88-FDBD72D7CE68}"/>
  <bookViews>
    <workbookView xWindow="-23148" yWindow="-108" windowWidth="23256" windowHeight="12456" firstSheet="1" activeTab="1" xr2:uid="{00000000-000D-0000-FFFF-FFFF00000000}"/>
  </bookViews>
  <sheets>
    <sheet name="Sammenstilling" sheetId="1" state="hidden" r:id="rId1"/>
    <sheet name="Resultat21-23" sheetId="10" r:id="rId2"/>
    <sheet name="Balanse21-23" sheetId="11" r:id="rId3"/>
    <sheet name="Resultat2020" sheetId="2" r:id="rId4"/>
    <sheet name="Resultat2021" sheetId="3" r:id="rId5"/>
    <sheet name="Resultat2022" sheetId="4" r:id="rId6"/>
    <sheet name="Resultat2023" sheetId="16" r:id="rId7"/>
    <sheet name="Budsjett2024" sheetId="6" r:id="rId8"/>
    <sheet name="Balanse2021" sheetId="7" r:id="rId9"/>
    <sheet name="Balanse2022" sheetId="8" r:id="rId10"/>
    <sheet name="Balanse2023" sheetId="17" r:id="rId11"/>
    <sheet name="AvdSammenstilling" sheetId="18" state="hidden" r:id="rId12"/>
    <sheet name="AvdResultat2021" sheetId="19" state="hidden" r:id="rId13"/>
    <sheet name="AvdResultat2022" sheetId="20" state="hidden" r:id="rId14"/>
    <sheet name="AvdResultat2023" sheetId="21" state="hidden" r:id="rId15"/>
  </sheets>
  <definedNames>
    <definedName name="hovedbokskonto" localSheetId="12">AvdResultat2021!$B$7:$P$7,AvdResultat2021!#REF!,AvdResultat2021!#REF!,AvdResultat2021!#REF!,AvdResultat2021!#REF!</definedName>
    <definedName name="hovedbokskonto" localSheetId="13">AvdResultat2022!$B$7:$P$7,AvdResultat2022!#REF!,AvdResultat2022!#REF!,AvdResultat2022!#REF!,AvdResultat2022!#REF!</definedName>
    <definedName name="hovedbokskonto" localSheetId="14">AvdResultat2023!$B$7:$P$7,AvdResultat2023!#REF!,AvdResultat2023!#REF!,AvdResultat2023!#REF!,AvdResultat2023!#REF!</definedName>
    <definedName name="hovedbokskonto" localSheetId="11">#REF!,#REF!,#REF!,#REF!,#REF!</definedName>
    <definedName name="hovedbokskonto" localSheetId="7">Budsjett2024!#REF!,Budsjett2024!#REF!,Budsjett2024!#REF!,Budsjett2024!#REF!,Budsjett2024!#REF!</definedName>
    <definedName name="hovedbokskonto" localSheetId="3">Resultat2020!#REF!,Resultat2020!#REF!,Resultat2020!#REF!,Resultat2020!#REF!,Resultat2020!#REF!</definedName>
    <definedName name="hovedbokskonto" localSheetId="4">Resultat2021!#REF!,Resultat2021!#REF!,Resultat2021!#REF!,Resultat2021!#REF!,Resultat2021!#REF!</definedName>
    <definedName name="hovedbokskonto" localSheetId="5">Resultat2022!#REF!,Resultat2022!#REF!,Resultat2022!#REF!,Resultat2022!#REF!,Resultat2022!#REF!</definedName>
    <definedName name="hovedbokskonto" localSheetId="6">Resultat2023!#REF!,Resultat2023!#REF!,Resultat2023!#REF!,Resultat2023!#REF!,Resultat2023!#REF!</definedName>
    <definedName name="hovedbokskonto">#REF!,#REF!,#REF!,#REF!,#REF!</definedName>
    <definedName name="hovedsum" localSheetId="12">AvdResultat2021!$B$172:$P$172,AvdResultat2021!$B$188:$P$188</definedName>
    <definedName name="hovedsum" localSheetId="13">AvdResultat2022!$B$153:$P$153,AvdResultat2022!$B$168:$P$168</definedName>
    <definedName name="hovedsum" localSheetId="14">AvdResultat2023!$B$164:$P$164,AvdResultat2023!$B$182:$P$182</definedName>
    <definedName name="hovedsum" localSheetId="11">#REF!,#REF!</definedName>
    <definedName name="hovedsum" localSheetId="7">Budsjett2024!$B$171:$D$171,Budsjett2024!$B$190:$D$190</definedName>
    <definedName name="hovedsum" localSheetId="3">Resultat2020!$B$193:$R$193,Resultat2020!$B$210:$R$210</definedName>
    <definedName name="hovedsum" localSheetId="4">Resultat2021!$B$196:$R$196,Resultat2021!$B$214:$R$214</definedName>
    <definedName name="hovedsum" localSheetId="5">Resultat2022!$B$192:$R$192,Resultat2022!$B$209:$R$209</definedName>
    <definedName name="hovedsum" localSheetId="6">Resultat2023!$B$191:$R$191,Resultat2023!$B$213:$R$213</definedName>
    <definedName name="hovedsum">#REF!,#REF!</definedName>
    <definedName name="kontogruppe" localSheetId="12">AvdResultat2021!$B$9:$P$9,AvdResultat2021!#REF!,AvdResultat2021!#REF!,AvdResultat2021!#REF!,AvdResultat2021!#REF!</definedName>
    <definedName name="kontogruppe" localSheetId="13">AvdResultat2022!$B$10:$P$10,AvdResultat2022!#REF!,AvdResultat2022!#REF!,AvdResultat2022!#REF!,AvdResultat2022!#REF!</definedName>
    <definedName name="kontogruppe" localSheetId="14">AvdResultat2023!$B$9:$P$9,AvdResultat2023!#REF!,AvdResultat2023!#REF!,AvdResultat2023!#REF!,AvdResultat2023!#REF!</definedName>
    <definedName name="kontogruppe" localSheetId="11">#REF!,#REF!,#REF!,#REF!,#REF!</definedName>
    <definedName name="kontogruppe" localSheetId="7">Budsjett2024!#REF!,Budsjett2024!#REF!,Budsjett2024!#REF!,Budsjett2024!#REF!,Budsjett2024!#REF!</definedName>
    <definedName name="kontogruppe" localSheetId="3">Resultat2020!#REF!,Resultat2020!#REF!,Resultat2020!#REF!,Resultat2020!#REF!,Resultat2020!#REF!</definedName>
    <definedName name="kontogruppe" localSheetId="4">Resultat2021!#REF!,Resultat2021!#REF!,Resultat2021!#REF!,Resultat2021!#REF!,Resultat2021!#REF!</definedName>
    <definedName name="kontogruppe" localSheetId="5">Resultat2022!#REF!,Resultat2022!#REF!,Resultat2022!#REF!,Resultat2022!#REF!,Resultat2022!#REF!</definedName>
    <definedName name="kontogruppe" localSheetId="6">Resultat2023!#REF!,Resultat2023!#REF!,Resultat2023!#REF!,Resultat2023!#REF!,Resultat2023!#REF!</definedName>
    <definedName name="kontogruppe">#REF!,#REF!,#REF!,#REF!,#REF!</definedName>
    <definedName name="OSR_GearWriter_0850a1ac658d4982866dfefd1064d426" localSheetId="7">Budsjett2024!#REF!</definedName>
    <definedName name="OSR_GearWriter_25ea4baf74c24b29ad8a4926eba7fb54" localSheetId="4">Resultat2021!$D$9:$L$9</definedName>
    <definedName name="OSR_GearWriter_49c1f678cd664197a3c4cf348d6d23dd" localSheetId="5">Resultat2022!$M$9:$U$9</definedName>
    <definedName name="OSR_GearWriter_4daa1f5c193a4fb18aa0706b0a6ad9e4" localSheetId="7">Budsjett2024!$D$9:$D$9</definedName>
    <definedName name="OSR_GearWriter_51df78e44a3c44a39ee9776bcd9bfb26" localSheetId="6">Resultat2023!$M$9:$U$9</definedName>
    <definedName name="OSR_GearWriter_9498ad822bbf4eafad06907aee839b90" localSheetId="3">Resultat2020!$D$9:$L$9</definedName>
    <definedName name="OSR_GearWriter_9d6e6d8bd90b461c8fb14e6f2a52b946" localSheetId="4">Resultat2021!$M$9:$U$9</definedName>
    <definedName name="OSR_GearWriter_a3659c310a954cb795378bdbdbf1f785" localSheetId="3">Resultat2020!$M$9:$U$9</definedName>
    <definedName name="OSR_GearWriter_d008318fe2bf41a1a9e1be31d59b859b" localSheetId="5">Resultat2022!$D$9:$L$9</definedName>
    <definedName name="OSR_GearWriter_d73cd4cac7d246aa93d99a46087fc793" localSheetId="6">Resultat2023!$D$9:$L$9</definedName>
    <definedName name="OSRRefD13_1x_0" localSheetId="12">AvdResultat2021!$D$55,AvdResultat2021!$D$67,AvdResultat2021!$D$71,AvdResultat2021!$D$74,AvdResultat2021!$D$77,AvdResultat2021!$D$87,AvdResultat2021!$D$93</definedName>
    <definedName name="OSRRefD13_1x_0" localSheetId="13">AvdResultat2022!$D$54,AvdResultat2022!$D$61,AvdResultat2022!$D$64,AvdResultat2022!$D$67,AvdResultat2022!$D$70,AvdResultat2022!$D$79</definedName>
    <definedName name="OSRRefD13_1x_0" localSheetId="14">AvdResultat2023!$D$56,AvdResultat2023!$D$63,AvdResultat2023!$D$67,AvdResultat2023!$D$70,AvdResultat2023!$D$74,AvdResultat2023!$D$83,AvdResultat2023!$D$85</definedName>
    <definedName name="OSRRefD13_1x_1" localSheetId="12">AvdResultat2021!$E$55,AvdResultat2021!$E$67,AvdResultat2021!$E$71,AvdResultat2021!$E$74,AvdResultat2021!$E$77,AvdResultat2021!$E$87,AvdResultat2021!$E$93</definedName>
    <definedName name="OSRRefD13_1x_1" localSheetId="13">AvdResultat2022!$E$54,AvdResultat2022!$E$61,AvdResultat2022!$E$64,AvdResultat2022!$E$67,AvdResultat2022!$E$70,AvdResultat2022!$E$79</definedName>
    <definedName name="OSRRefD13_1x_1" localSheetId="14">AvdResultat2023!$E$56,AvdResultat2023!$E$63,AvdResultat2023!$E$67,AvdResultat2023!$E$70,AvdResultat2023!$E$74,AvdResultat2023!$E$83,AvdResultat2023!$E$85</definedName>
    <definedName name="OSRRefD13_1x_10" localSheetId="12">AvdResultat2021!#REF!,AvdResultat2021!#REF!,AvdResultat2021!#REF!,AvdResultat2021!#REF!,AvdResultat2021!#REF!,AvdResultat2021!#REF!,AvdResultat2021!#REF!</definedName>
    <definedName name="OSRRefD13_1x_10" localSheetId="13">AvdResultat2022!#REF!,AvdResultat2022!#REF!,AvdResultat2022!#REF!,AvdResultat2022!#REF!,AvdResultat2022!#REF!,AvdResultat2022!#REF!</definedName>
    <definedName name="OSRRefD13_1x_10" localSheetId="14">AvdResultat2023!#REF!,AvdResultat2023!#REF!,AvdResultat2023!#REF!,AvdResultat2023!#REF!,AvdResultat2023!#REF!,AvdResultat2023!#REF!,AvdResultat2023!#REF!</definedName>
    <definedName name="OSRRefD13_1x_11" localSheetId="12">AvdResultat2021!#REF!,AvdResultat2021!#REF!,AvdResultat2021!#REF!,AvdResultat2021!#REF!,AvdResultat2021!#REF!,AvdResultat2021!#REF!,AvdResultat2021!#REF!</definedName>
    <definedName name="OSRRefD13_1x_11" localSheetId="13">AvdResultat2022!#REF!,AvdResultat2022!#REF!,AvdResultat2022!#REF!,AvdResultat2022!#REF!,AvdResultat2022!#REF!,AvdResultat2022!#REF!</definedName>
    <definedName name="OSRRefD13_1x_11" localSheetId="14">AvdResultat2023!#REF!,AvdResultat2023!#REF!,AvdResultat2023!#REF!,AvdResultat2023!#REF!,AvdResultat2023!#REF!,AvdResultat2023!#REF!,AvdResultat2023!#REF!</definedName>
    <definedName name="OSRRefD13_1x_12" localSheetId="12">AvdResultat2021!$J$55,AvdResultat2021!$J$67,AvdResultat2021!$J$71,AvdResultat2021!$J$74,AvdResultat2021!$J$77,AvdResultat2021!$J$87,AvdResultat2021!$J$93</definedName>
    <definedName name="OSRRefD13_1x_12" localSheetId="13">AvdResultat2022!$J$54,AvdResultat2022!$J$61,AvdResultat2022!$J$64,AvdResultat2022!$J$67,AvdResultat2022!$J$70,AvdResultat2022!$J$79</definedName>
    <definedName name="OSRRefD13_1x_12" localSheetId="14">AvdResultat2023!$J$56,AvdResultat2023!$J$63,AvdResultat2023!$J$67,AvdResultat2023!$J$70,AvdResultat2023!$J$74,AvdResultat2023!$J$83,AvdResultat2023!$J$85</definedName>
    <definedName name="OSRRefD13_1x_13" localSheetId="12">AvdResultat2021!$K$55,AvdResultat2021!$K$67,AvdResultat2021!$K$71,AvdResultat2021!$K$74,AvdResultat2021!$K$77,AvdResultat2021!$K$87,AvdResultat2021!$K$93</definedName>
    <definedName name="OSRRefD13_1x_13" localSheetId="13">AvdResultat2022!$K$54,AvdResultat2022!$K$61,AvdResultat2022!$K$64,AvdResultat2022!$K$67,AvdResultat2022!$K$70,AvdResultat2022!$K$79</definedName>
    <definedName name="OSRRefD13_1x_13" localSheetId="14">AvdResultat2023!$K$56,AvdResultat2023!$K$63,AvdResultat2023!$K$67,AvdResultat2023!$K$70,AvdResultat2023!$K$74,AvdResultat2023!$K$83,AvdResultat2023!$K$85</definedName>
    <definedName name="OSRRefD13_1x_14" localSheetId="12">AvdResultat2021!$L$55,AvdResultat2021!$L$67,AvdResultat2021!$L$71,AvdResultat2021!$L$74,AvdResultat2021!$L$77,AvdResultat2021!$L$87,AvdResultat2021!$L$93</definedName>
    <definedName name="OSRRefD13_1x_14" localSheetId="13">AvdResultat2022!$L$54,AvdResultat2022!$L$61,AvdResultat2022!$L$64,AvdResultat2022!$L$67,AvdResultat2022!$L$70,AvdResultat2022!$L$79</definedName>
    <definedName name="OSRRefD13_1x_14" localSheetId="14">AvdResultat2023!$L$56,AvdResultat2023!$L$63,AvdResultat2023!$L$67,AvdResultat2023!$L$70,AvdResultat2023!$L$74,AvdResultat2023!$L$83,AvdResultat2023!$L$85</definedName>
    <definedName name="OSRRefD13_1x_15" localSheetId="12">AvdResultat2021!$M$55,AvdResultat2021!$M$67,AvdResultat2021!$M$71,AvdResultat2021!$M$74,AvdResultat2021!$M$77,AvdResultat2021!$M$87,AvdResultat2021!$M$93</definedName>
    <definedName name="OSRRefD13_1x_15" localSheetId="13">AvdResultat2022!$M$54,AvdResultat2022!$M$61,AvdResultat2022!$M$64,AvdResultat2022!$M$67,AvdResultat2022!$M$70,AvdResultat2022!$M$79</definedName>
    <definedName name="OSRRefD13_1x_15" localSheetId="14">AvdResultat2023!$M$56,AvdResultat2023!$M$63,AvdResultat2023!$M$67,AvdResultat2023!$M$70,AvdResultat2023!$M$74,AvdResultat2023!$M$83,AvdResultat2023!$M$85</definedName>
    <definedName name="OSRRefD13_1x_16" localSheetId="12">AvdResultat2021!$N$55,AvdResultat2021!$N$67,AvdResultat2021!$N$71,AvdResultat2021!$N$74,AvdResultat2021!$N$77,AvdResultat2021!$N$87,AvdResultat2021!$N$93</definedName>
    <definedName name="OSRRefD13_1x_16" localSheetId="13">AvdResultat2022!$N$54,AvdResultat2022!$N$61,AvdResultat2022!$N$64,AvdResultat2022!$N$67,AvdResultat2022!$N$70,AvdResultat2022!$N$79</definedName>
    <definedName name="OSRRefD13_1x_16" localSheetId="14">AvdResultat2023!$N$56,AvdResultat2023!$N$63,AvdResultat2023!$N$67,AvdResultat2023!$N$70,AvdResultat2023!$N$74,AvdResultat2023!$N$83,AvdResultat2023!$N$85</definedName>
    <definedName name="OSRRefD13_1x_17" localSheetId="12">AvdResultat2021!$O$55,AvdResultat2021!$O$67,AvdResultat2021!$O$71,AvdResultat2021!$O$74,AvdResultat2021!$O$77,AvdResultat2021!$O$87,AvdResultat2021!$O$93</definedName>
    <definedName name="OSRRefD13_1x_17" localSheetId="13">AvdResultat2022!$O$54,AvdResultat2022!$O$61,AvdResultat2022!$O$64,AvdResultat2022!$O$67,AvdResultat2022!$O$70,AvdResultat2022!$O$79</definedName>
    <definedName name="OSRRefD13_1x_17" localSheetId="14">AvdResultat2023!$O$56,AvdResultat2023!$O$63,AvdResultat2023!$O$67,AvdResultat2023!$O$70,AvdResultat2023!$O$74,AvdResultat2023!$O$83,AvdResultat2023!$O$85</definedName>
    <definedName name="OSRRefD13_1x_2" localSheetId="12">AvdResultat2021!$F$55,AvdResultat2021!$F$67,AvdResultat2021!$F$71,AvdResultat2021!$F$74,AvdResultat2021!$F$77,AvdResultat2021!$F$87,AvdResultat2021!$F$93</definedName>
    <definedName name="OSRRefD13_1x_2" localSheetId="13">AvdResultat2022!$F$54,AvdResultat2022!$F$61,AvdResultat2022!$F$64,AvdResultat2022!$F$67,AvdResultat2022!$F$70,AvdResultat2022!$F$79</definedName>
    <definedName name="OSRRefD13_1x_2" localSheetId="14">AvdResultat2023!$F$56,AvdResultat2023!$F$63,AvdResultat2023!$F$67,AvdResultat2023!$F$70,AvdResultat2023!$F$74,AvdResultat2023!$F$83,AvdResultat2023!$F$85</definedName>
    <definedName name="OSRRefD13_1x_3" localSheetId="12">AvdResultat2021!$G$55,AvdResultat2021!$G$67,AvdResultat2021!$G$71,AvdResultat2021!$G$74,AvdResultat2021!$G$77,AvdResultat2021!$G$87,AvdResultat2021!$G$93</definedName>
    <definedName name="OSRRefD13_1x_3" localSheetId="13">AvdResultat2022!$G$54,AvdResultat2022!$G$61,AvdResultat2022!$G$64,AvdResultat2022!$G$67,AvdResultat2022!$G$70,AvdResultat2022!$G$79</definedName>
    <definedName name="OSRRefD13_1x_3" localSheetId="14">AvdResultat2023!$G$56,AvdResultat2023!$G$63,AvdResultat2023!$G$67,AvdResultat2023!$G$70,AvdResultat2023!$G$74,AvdResultat2023!$G$83,AvdResultat2023!$G$85</definedName>
    <definedName name="OSRRefD13_1x_4" localSheetId="12">AvdResultat2021!$H$55,AvdResultat2021!$H$67,AvdResultat2021!$H$71,AvdResultat2021!$H$74,AvdResultat2021!$H$77,AvdResultat2021!$H$87,AvdResultat2021!$H$93</definedName>
    <definedName name="OSRRefD13_1x_4" localSheetId="13">AvdResultat2022!$H$54,AvdResultat2022!$H$61,AvdResultat2022!$H$64,AvdResultat2022!$H$67,AvdResultat2022!$H$70,AvdResultat2022!$H$79</definedName>
    <definedName name="OSRRefD13_1x_4" localSheetId="14">AvdResultat2023!$H$56,AvdResultat2023!$H$63,AvdResultat2023!$H$67,AvdResultat2023!$H$70,AvdResultat2023!$H$74,AvdResultat2023!$H$83,AvdResultat2023!$H$85</definedName>
    <definedName name="OSRRefD13_1x_5" localSheetId="12">AvdResultat2021!$I$55,AvdResultat2021!$I$67,AvdResultat2021!$I$71,AvdResultat2021!$I$74,AvdResultat2021!$I$77,AvdResultat2021!$I$87,AvdResultat2021!$I$93</definedName>
    <definedName name="OSRRefD13_1x_5" localSheetId="13">AvdResultat2022!$I$54,AvdResultat2022!$I$61,AvdResultat2022!$I$64,AvdResultat2022!$I$67,AvdResultat2022!$I$70,AvdResultat2022!$I$79</definedName>
    <definedName name="OSRRefD13_1x_5" localSheetId="14">AvdResultat2023!$I$56,AvdResultat2023!$I$63,AvdResultat2023!$I$67,AvdResultat2023!$I$70,AvdResultat2023!$I$74,AvdResultat2023!$I$83,AvdResultat2023!$I$85</definedName>
    <definedName name="OSRRefD13_1x_6" localSheetId="12">AvdResultat2021!#REF!,AvdResultat2021!#REF!,AvdResultat2021!#REF!,AvdResultat2021!#REF!,AvdResultat2021!#REF!,AvdResultat2021!#REF!,AvdResultat2021!#REF!</definedName>
    <definedName name="OSRRefD13_1x_6" localSheetId="13">AvdResultat2022!#REF!,AvdResultat2022!#REF!,AvdResultat2022!#REF!,AvdResultat2022!#REF!,AvdResultat2022!#REF!,AvdResultat2022!#REF!</definedName>
    <definedName name="OSRRefD13_1x_6" localSheetId="14">AvdResultat2023!#REF!,AvdResultat2023!#REF!,AvdResultat2023!#REF!,AvdResultat2023!#REF!,AvdResultat2023!#REF!,AvdResultat2023!#REF!,AvdResultat2023!#REF!</definedName>
    <definedName name="OSRRefD13_1x_7" localSheetId="12">AvdResultat2021!#REF!,AvdResultat2021!#REF!,AvdResultat2021!#REF!,AvdResultat2021!#REF!,AvdResultat2021!#REF!,AvdResultat2021!#REF!,AvdResultat2021!#REF!</definedName>
    <definedName name="OSRRefD13_1x_7" localSheetId="13">AvdResultat2022!#REF!,AvdResultat2022!#REF!,AvdResultat2022!#REF!,AvdResultat2022!#REF!,AvdResultat2022!#REF!,AvdResultat2022!#REF!</definedName>
    <definedName name="OSRRefD13_1x_7" localSheetId="14">AvdResultat2023!#REF!,AvdResultat2023!#REF!,AvdResultat2023!#REF!,AvdResultat2023!#REF!,AvdResultat2023!#REF!,AvdResultat2023!#REF!,AvdResultat2023!#REF!</definedName>
    <definedName name="OSRRefD13_1x_8" localSheetId="12">AvdResultat2021!#REF!,AvdResultat2021!#REF!,AvdResultat2021!#REF!,AvdResultat2021!#REF!,AvdResultat2021!#REF!,AvdResultat2021!#REF!,AvdResultat2021!#REF!</definedName>
    <definedName name="OSRRefD13_1x_8" localSheetId="13">AvdResultat2022!#REF!,AvdResultat2022!#REF!,AvdResultat2022!#REF!,AvdResultat2022!#REF!,AvdResultat2022!#REF!,AvdResultat2022!#REF!</definedName>
    <definedName name="OSRRefD13_1x_8" localSheetId="14">AvdResultat2023!#REF!,AvdResultat2023!#REF!,AvdResultat2023!#REF!,AvdResultat2023!#REF!,AvdResultat2023!#REF!,AvdResultat2023!#REF!,AvdResultat2023!#REF!</definedName>
    <definedName name="OSRRefD13_1x_9" localSheetId="12">AvdResultat2021!#REF!,AvdResultat2021!#REF!,AvdResultat2021!#REF!,AvdResultat2021!#REF!,AvdResultat2021!#REF!,AvdResultat2021!#REF!,AvdResultat2021!#REF!</definedName>
    <definedName name="OSRRefD13_1x_9" localSheetId="13">AvdResultat2022!#REF!,AvdResultat2022!#REF!,AvdResultat2022!#REF!,AvdResultat2022!#REF!,AvdResultat2022!#REF!,AvdResultat2022!#REF!</definedName>
    <definedName name="OSRRefD13_1x_9" localSheetId="14">AvdResultat2023!#REF!,AvdResultat2023!#REF!,AvdResultat2023!#REF!,AvdResultat2023!#REF!,AvdResultat2023!#REF!,AvdResultat2023!#REF!,AvdResultat2023!#REF!</definedName>
    <definedName name="OSRRefD13_2x_0" localSheetId="12">AvdResultat2021!$D$96,AvdResultat2021!$D$101,AvdResultat2021!$D$106,AvdResultat2021!$D$111,AvdResultat2021!$D$116,AvdResultat2021!$D$123,AvdResultat2021!$D$128,AvdResultat2021!$D$132,AvdResultat2021!$D$140,AvdResultat2021!$D$143,AvdResultat2021!$D$155,AvdResultat2021!$D$158,AvdResultat2021!$D$165,AvdResultat2021!$D$168</definedName>
    <definedName name="OSRRefD13_2x_0" localSheetId="13">AvdResultat2022!$D$82,AvdResultat2022!$D$87,AvdResultat2022!$D$93,AvdResultat2022!$D$97,AvdResultat2022!$D$101,AvdResultat2022!$D$108,AvdResultat2022!$D$113,AvdResultat2022!$D$118,AvdResultat2022!$D$125,AvdResultat2022!$D$128,AvdResultat2022!$D$137,AvdResultat2022!$D$140,AvdResultat2022!$D$147,AvdResultat2022!$D$149</definedName>
    <definedName name="OSRRefD13_2x_0" localSheetId="14">AvdResultat2023!$D$88,AvdResultat2023!$D$94,AvdResultat2023!$D$100,AvdResultat2023!$D$105,AvdResultat2023!$D$109,AvdResultat2023!$D$117,AvdResultat2023!$D$123,AvdResultat2023!$D$129,AvdResultat2023!$D$137,AvdResultat2023!$D$139,AvdResultat2023!$D$149,AvdResultat2023!$D$152,AvdResultat2023!$D$160</definedName>
    <definedName name="OSRRefD13_2x_0" localSheetId="5">Resultat2022!$D$33,Resultat2022!$D$38,Resultat2022!$D$40,Resultat2022!$D$45</definedName>
    <definedName name="OSRRefD13_2x_0" localSheetId="6">Resultat2023!$D$35,Resultat2023!$D$40,Resultat2023!$D$42,Resultat2023!$D$47</definedName>
    <definedName name="OSRRefD13_2x_1" localSheetId="12">AvdResultat2021!$E$96,AvdResultat2021!$E$101,AvdResultat2021!$E$106,AvdResultat2021!$E$111,AvdResultat2021!$E$116,AvdResultat2021!$E$123,AvdResultat2021!$E$128,AvdResultat2021!$E$132,AvdResultat2021!$E$140,AvdResultat2021!$E$143,AvdResultat2021!$E$155,AvdResultat2021!$E$158,AvdResultat2021!$E$165,AvdResultat2021!$E$168</definedName>
    <definedName name="OSRRefD13_2x_1" localSheetId="13">AvdResultat2022!$E$82,AvdResultat2022!$E$87,AvdResultat2022!$E$93,AvdResultat2022!$E$97,AvdResultat2022!$E$101,AvdResultat2022!$E$108,AvdResultat2022!$E$113,AvdResultat2022!$E$118,AvdResultat2022!$E$125,AvdResultat2022!$E$128,AvdResultat2022!$E$137,AvdResultat2022!$E$140,AvdResultat2022!$E$147,AvdResultat2022!$E$149</definedName>
    <definedName name="OSRRefD13_2x_1" localSheetId="14">AvdResultat2023!$E$88,AvdResultat2023!$E$94,AvdResultat2023!$E$100,AvdResultat2023!$E$105,AvdResultat2023!$E$109,AvdResultat2023!$E$117,AvdResultat2023!$E$123,AvdResultat2023!$E$129,AvdResultat2023!$E$137,AvdResultat2023!$E$139,AvdResultat2023!$E$149,AvdResultat2023!$E$152,AvdResultat2023!$E$160</definedName>
    <definedName name="OSRRefD13_2x_10" localSheetId="12">AvdResultat2021!#REF!,AvdResultat2021!#REF!,AvdResultat2021!#REF!,AvdResultat2021!#REF!,AvdResultat2021!#REF!,AvdResultat2021!#REF!,AvdResultat2021!#REF!,AvdResultat2021!#REF!,AvdResultat2021!#REF!,AvdResultat2021!#REF!,AvdResultat2021!#REF!,AvdResultat2021!#REF!,AvdResultat2021!#REF!,AvdResultat2021!#REF!</definedName>
    <definedName name="OSRRefD13_2x_10" localSheetId="13">AvdResultat2022!#REF!,AvdResultat2022!#REF!,AvdResultat2022!#REF!,AvdResultat2022!#REF!,AvdResultat2022!#REF!,AvdResultat2022!#REF!,AvdResultat2022!#REF!,AvdResultat2022!#REF!,AvdResultat2022!#REF!,AvdResultat2022!#REF!,AvdResultat2022!#REF!,AvdResultat2022!#REF!,AvdResultat2022!#REF!,AvdResultat2022!#REF!</definedName>
    <definedName name="OSRRefD13_2x_10" localSheetId="14">AvdResultat2023!#REF!,AvdResultat2023!#REF!,AvdResultat2023!#REF!,AvdResultat2023!#REF!,AvdResultat2023!#REF!,AvdResultat2023!#REF!,AvdResultat2023!#REF!,AvdResultat2023!#REF!,AvdResultat2023!#REF!,AvdResultat2023!#REF!,AvdResultat2023!#REF!,AvdResultat2023!#REF!,AvdResultat2023!#REF!</definedName>
    <definedName name="OSRRefD13_2x_11" localSheetId="12">AvdResultat2021!#REF!,AvdResultat2021!#REF!,AvdResultat2021!#REF!,AvdResultat2021!#REF!,AvdResultat2021!#REF!,AvdResultat2021!#REF!,AvdResultat2021!#REF!,AvdResultat2021!#REF!,AvdResultat2021!#REF!,AvdResultat2021!#REF!,AvdResultat2021!#REF!,AvdResultat2021!#REF!,AvdResultat2021!#REF!,AvdResultat2021!#REF!</definedName>
    <definedName name="OSRRefD13_2x_11" localSheetId="13">AvdResultat2022!#REF!,AvdResultat2022!#REF!,AvdResultat2022!#REF!,AvdResultat2022!#REF!,AvdResultat2022!#REF!,AvdResultat2022!#REF!,AvdResultat2022!#REF!,AvdResultat2022!#REF!,AvdResultat2022!#REF!,AvdResultat2022!#REF!,AvdResultat2022!#REF!,AvdResultat2022!#REF!,AvdResultat2022!#REF!,AvdResultat2022!#REF!</definedName>
    <definedName name="OSRRefD13_2x_11" localSheetId="14">AvdResultat2023!#REF!,AvdResultat2023!#REF!,AvdResultat2023!#REF!,AvdResultat2023!#REF!,AvdResultat2023!#REF!,AvdResultat2023!#REF!,AvdResultat2023!#REF!,AvdResultat2023!#REF!,AvdResultat2023!#REF!,AvdResultat2023!#REF!,AvdResultat2023!#REF!,AvdResultat2023!#REF!,AvdResultat2023!#REF!</definedName>
    <definedName name="OSRRefD13_2x_12" localSheetId="12">AvdResultat2021!$J$96,AvdResultat2021!$J$101,AvdResultat2021!$J$106,AvdResultat2021!$J$111,AvdResultat2021!$J$116,AvdResultat2021!$J$123,AvdResultat2021!$J$128,AvdResultat2021!$J$132,AvdResultat2021!$J$140,AvdResultat2021!$J$143,AvdResultat2021!$J$155,AvdResultat2021!$J$158,AvdResultat2021!$J$165,AvdResultat2021!$J$168</definedName>
    <definedName name="OSRRefD13_2x_12" localSheetId="13">AvdResultat2022!$J$82,AvdResultat2022!$J$87,AvdResultat2022!$J$93,AvdResultat2022!$J$97,AvdResultat2022!$J$101,AvdResultat2022!$J$108,AvdResultat2022!$J$113,AvdResultat2022!$J$118,AvdResultat2022!$J$125,AvdResultat2022!$J$128,AvdResultat2022!$J$137,AvdResultat2022!$J$140,AvdResultat2022!$J$147,AvdResultat2022!$J$149</definedName>
    <definedName name="OSRRefD13_2x_12" localSheetId="14">AvdResultat2023!$J$88,AvdResultat2023!$J$94,AvdResultat2023!$J$100,AvdResultat2023!$J$105,AvdResultat2023!$J$109,AvdResultat2023!$J$117,AvdResultat2023!$J$123,AvdResultat2023!$J$129,AvdResultat2023!$J$137,AvdResultat2023!$J$139,AvdResultat2023!$J$149,AvdResultat2023!$J$152,AvdResultat2023!$J$160</definedName>
    <definedName name="OSRRefD13_2x_13" localSheetId="12">AvdResultat2021!$K$96,AvdResultat2021!$K$101,AvdResultat2021!$K$106,AvdResultat2021!$K$111,AvdResultat2021!$K$116,AvdResultat2021!$K$123,AvdResultat2021!$K$128,AvdResultat2021!$K$132,AvdResultat2021!$K$140,AvdResultat2021!$K$143,AvdResultat2021!$K$155,AvdResultat2021!$K$158,AvdResultat2021!$K$165,AvdResultat2021!$K$168</definedName>
    <definedName name="OSRRefD13_2x_13" localSheetId="13">AvdResultat2022!$K$82,AvdResultat2022!$K$87,AvdResultat2022!$K$93,AvdResultat2022!$K$97,AvdResultat2022!$K$101,AvdResultat2022!$K$108,AvdResultat2022!$K$113,AvdResultat2022!$K$118,AvdResultat2022!$K$125,AvdResultat2022!$K$128,AvdResultat2022!$K$137,AvdResultat2022!$K$140,AvdResultat2022!$K$147,AvdResultat2022!$K$149</definedName>
    <definedName name="OSRRefD13_2x_13" localSheetId="14">AvdResultat2023!$K$88,AvdResultat2023!$K$94,AvdResultat2023!$K$100,AvdResultat2023!$K$105,AvdResultat2023!$K$109,AvdResultat2023!$K$117,AvdResultat2023!$K$123,AvdResultat2023!$K$129,AvdResultat2023!$K$137,AvdResultat2023!$K$139,AvdResultat2023!$K$149,AvdResultat2023!$K$152,AvdResultat2023!$K$160</definedName>
    <definedName name="OSRRefD13_2x_14" localSheetId="12">AvdResultat2021!$L$96,AvdResultat2021!$L$101,AvdResultat2021!$L$106,AvdResultat2021!$L$111,AvdResultat2021!$L$116,AvdResultat2021!$L$123,AvdResultat2021!$L$128,AvdResultat2021!$L$132,AvdResultat2021!$L$140,AvdResultat2021!$L$143,AvdResultat2021!$L$155,AvdResultat2021!$L$158,AvdResultat2021!$L$165,AvdResultat2021!$L$168</definedName>
    <definedName name="OSRRefD13_2x_14" localSheetId="13">AvdResultat2022!$L$82,AvdResultat2022!$L$87,AvdResultat2022!$L$93,AvdResultat2022!$L$97,AvdResultat2022!$L$101,AvdResultat2022!$L$108,AvdResultat2022!$L$113,AvdResultat2022!$L$118,AvdResultat2022!$L$125,AvdResultat2022!$L$128,AvdResultat2022!$L$137,AvdResultat2022!$L$140,AvdResultat2022!$L$147,AvdResultat2022!$L$149</definedName>
    <definedName name="OSRRefD13_2x_14" localSheetId="14">AvdResultat2023!$L$88,AvdResultat2023!$L$94,AvdResultat2023!$L$100,AvdResultat2023!$L$105,AvdResultat2023!$L$109,AvdResultat2023!$L$117,AvdResultat2023!$L$123,AvdResultat2023!$L$129,AvdResultat2023!$L$137,AvdResultat2023!$L$139,AvdResultat2023!$L$149,AvdResultat2023!$L$152,AvdResultat2023!$L$160</definedName>
    <definedName name="OSRRefD13_2x_15" localSheetId="12">AvdResultat2021!$M$96,AvdResultat2021!$M$101,AvdResultat2021!$M$106,AvdResultat2021!$M$111,AvdResultat2021!$M$116,AvdResultat2021!$M$123,AvdResultat2021!$M$128,AvdResultat2021!$M$132,AvdResultat2021!$M$140,AvdResultat2021!$M$143,AvdResultat2021!$M$155,AvdResultat2021!$M$158,AvdResultat2021!$M$165,AvdResultat2021!$M$168</definedName>
    <definedName name="OSRRefD13_2x_15" localSheetId="13">AvdResultat2022!$M$82,AvdResultat2022!$M$87,AvdResultat2022!$M$93,AvdResultat2022!$M$97,AvdResultat2022!$M$101,AvdResultat2022!$M$108,AvdResultat2022!$M$113,AvdResultat2022!$M$118,AvdResultat2022!$M$125,AvdResultat2022!$M$128,AvdResultat2022!$M$137,AvdResultat2022!$M$140,AvdResultat2022!$M$147,AvdResultat2022!$M$149</definedName>
    <definedName name="OSRRefD13_2x_15" localSheetId="14">AvdResultat2023!$M$88,AvdResultat2023!$M$94,AvdResultat2023!$M$100,AvdResultat2023!$M$105,AvdResultat2023!$M$109,AvdResultat2023!$M$117,AvdResultat2023!$M$123,AvdResultat2023!$M$129,AvdResultat2023!$M$137,AvdResultat2023!$M$139,AvdResultat2023!$M$149,AvdResultat2023!$M$152,AvdResultat2023!$M$160</definedName>
    <definedName name="OSRRefD13_2x_16" localSheetId="12">AvdResultat2021!$N$96,AvdResultat2021!$N$101,AvdResultat2021!$N$106,AvdResultat2021!$N$111,AvdResultat2021!$N$116,AvdResultat2021!$N$123,AvdResultat2021!$N$128,AvdResultat2021!$N$132,AvdResultat2021!$N$140,AvdResultat2021!$N$143,AvdResultat2021!$N$155,AvdResultat2021!$N$158,AvdResultat2021!$N$165,AvdResultat2021!$N$168</definedName>
    <definedName name="OSRRefD13_2x_16" localSheetId="13">AvdResultat2022!$N$82,AvdResultat2022!$N$87,AvdResultat2022!$N$93,AvdResultat2022!$N$97,AvdResultat2022!$N$101,AvdResultat2022!$N$108,AvdResultat2022!$N$113,AvdResultat2022!$N$118,AvdResultat2022!$N$125,AvdResultat2022!$N$128,AvdResultat2022!$N$137,AvdResultat2022!$N$140,AvdResultat2022!$N$147,AvdResultat2022!$N$149</definedName>
    <definedName name="OSRRefD13_2x_16" localSheetId="14">AvdResultat2023!$N$88,AvdResultat2023!$N$94,AvdResultat2023!$N$100,AvdResultat2023!$N$105,AvdResultat2023!$N$109,AvdResultat2023!$N$117,AvdResultat2023!$N$123,AvdResultat2023!$N$129,AvdResultat2023!$N$137,AvdResultat2023!$N$139,AvdResultat2023!$N$149,AvdResultat2023!$N$152,AvdResultat2023!$N$160</definedName>
    <definedName name="OSRRefD13_2x_17" localSheetId="12">AvdResultat2021!$O$96,AvdResultat2021!$O$101,AvdResultat2021!$O$106,AvdResultat2021!$O$111,AvdResultat2021!$O$116,AvdResultat2021!$O$123,AvdResultat2021!$O$128,AvdResultat2021!$O$132,AvdResultat2021!$O$140,AvdResultat2021!$O$143,AvdResultat2021!$O$155,AvdResultat2021!$O$158,AvdResultat2021!$O$165,AvdResultat2021!$O$168</definedName>
    <definedName name="OSRRefD13_2x_17" localSheetId="13">AvdResultat2022!$O$82,AvdResultat2022!$O$87,AvdResultat2022!$O$93,AvdResultat2022!$O$97,AvdResultat2022!$O$101,AvdResultat2022!$O$108,AvdResultat2022!$O$113,AvdResultat2022!$O$118,AvdResultat2022!$O$125,AvdResultat2022!$O$128,AvdResultat2022!$O$137,AvdResultat2022!$O$140,AvdResultat2022!$O$147,AvdResultat2022!$O$149</definedName>
    <definedName name="OSRRefD13_2x_17" localSheetId="14">AvdResultat2023!$O$88,AvdResultat2023!$O$94,AvdResultat2023!$O$100,AvdResultat2023!$O$105,AvdResultat2023!$O$109,AvdResultat2023!$O$117,AvdResultat2023!$O$123,AvdResultat2023!$O$129,AvdResultat2023!$O$137,AvdResultat2023!$O$139,AvdResultat2023!$O$149,AvdResultat2023!$O$152,AvdResultat2023!$O$160</definedName>
    <definedName name="OSRRefD13_2x_2" localSheetId="12">AvdResultat2021!$F$96,AvdResultat2021!$F$101,AvdResultat2021!$F$106,AvdResultat2021!$F$111,AvdResultat2021!$F$116,AvdResultat2021!$F$123,AvdResultat2021!$F$128,AvdResultat2021!$F$132,AvdResultat2021!$F$140,AvdResultat2021!$F$143,AvdResultat2021!$F$155,AvdResultat2021!$F$158,AvdResultat2021!$F$165,AvdResultat2021!$F$168</definedName>
    <definedName name="OSRRefD13_2x_2" localSheetId="13">AvdResultat2022!$F$82,AvdResultat2022!$F$87,AvdResultat2022!$F$93,AvdResultat2022!$F$97,AvdResultat2022!$F$101,AvdResultat2022!$F$108,AvdResultat2022!$F$113,AvdResultat2022!$F$118,AvdResultat2022!$F$125,AvdResultat2022!$F$128,AvdResultat2022!$F$137,AvdResultat2022!$F$140,AvdResultat2022!$F$147,AvdResultat2022!$F$149</definedName>
    <definedName name="OSRRefD13_2x_2" localSheetId="14">AvdResultat2023!$F$88,AvdResultat2023!$F$94,AvdResultat2023!$F$100,AvdResultat2023!$F$105,AvdResultat2023!$F$109,AvdResultat2023!$F$117,AvdResultat2023!$F$123,AvdResultat2023!$F$129,AvdResultat2023!$F$137,AvdResultat2023!$F$139,AvdResultat2023!$F$149,AvdResultat2023!$F$152,AvdResultat2023!$F$160</definedName>
    <definedName name="OSRRefD13_2x_3" localSheetId="12">AvdResultat2021!$G$96,AvdResultat2021!$G$101,AvdResultat2021!$G$106,AvdResultat2021!$G$111,AvdResultat2021!$G$116,AvdResultat2021!$G$123,AvdResultat2021!$G$128,AvdResultat2021!$G$132,AvdResultat2021!$G$140,AvdResultat2021!$G$143,AvdResultat2021!$G$155,AvdResultat2021!$G$158,AvdResultat2021!$G$165,AvdResultat2021!$G$168</definedName>
    <definedName name="OSRRefD13_2x_3" localSheetId="13">AvdResultat2022!$G$82,AvdResultat2022!$G$87,AvdResultat2022!$G$93,AvdResultat2022!$G$97,AvdResultat2022!$G$101,AvdResultat2022!$G$108,AvdResultat2022!$G$113,AvdResultat2022!$G$118,AvdResultat2022!$G$125,AvdResultat2022!$G$128,AvdResultat2022!$G$137,AvdResultat2022!$G$140,AvdResultat2022!$G$147,AvdResultat2022!$G$149</definedName>
    <definedName name="OSRRefD13_2x_3" localSheetId="14">AvdResultat2023!$G$88,AvdResultat2023!$G$94,AvdResultat2023!$G$100,AvdResultat2023!$G$105,AvdResultat2023!$G$109,AvdResultat2023!$G$117,AvdResultat2023!$G$123,AvdResultat2023!$G$129,AvdResultat2023!$G$137,AvdResultat2023!$G$139,AvdResultat2023!$G$149,AvdResultat2023!$G$152,AvdResultat2023!$G$160</definedName>
    <definedName name="OSRRefD13_2x_4" localSheetId="12">AvdResultat2021!$H$96,AvdResultat2021!$H$101,AvdResultat2021!$H$106,AvdResultat2021!$H$111,AvdResultat2021!$H$116,AvdResultat2021!$H$123,AvdResultat2021!$H$128,AvdResultat2021!$H$132,AvdResultat2021!$H$140,AvdResultat2021!$H$143,AvdResultat2021!$H$155,AvdResultat2021!$H$158,AvdResultat2021!$H$165,AvdResultat2021!$H$168</definedName>
    <definedName name="OSRRefD13_2x_4" localSheetId="13">AvdResultat2022!$H$82,AvdResultat2022!$H$87,AvdResultat2022!$H$93,AvdResultat2022!$H$97,AvdResultat2022!$H$101,AvdResultat2022!$H$108,AvdResultat2022!$H$113,AvdResultat2022!$H$118,AvdResultat2022!$H$125,AvdResultat2022!$H$128,AvdResultat2022!$H$137,AvdResultat2022!$H$140,AvdResultat2022!$H$147,AvdResultat2022!$H$149</definedName>
    <definedName name="OSRRefD13_2x_4" localSheetId="14">AvdResultat2023!$H$88,AvdResultat2023!$H$94,AvdResultat2023!$H$100,AvdResultat2023!$H$105,AvdResultat2023!$H$109,AvdResultat2023!$H$117,AvdResultat2023!$H$123,AvdResultat2023!$H$129,AvdResultat2023!$H$137,AvdResultat2023!$H$139,AvdResultat2023!$H$149,AvdResultat2023!$H$152,AvdResultat2023!$H$160</definedName>
    <definedName name="OSRRefD13_2x_5" localSheetId="12">AvdResultat2021!$I$96,AvdResultat2021!$I$101,AvdResultat2021!$I$106,AvdResultat2021!$I$111,AvdResultat2021!$I$116,AvdResultat2021!$I$123,AvdResultat2021!$I$128,AvdResultat2021!$I$132,AvdResultat2021!$I$140,AvdResultat2021!$I$143,AvdResultat2021!$I$155,AvdResultat2021!$I$158,AvdResultat2021!$I$165,AvdResultat2021!$I$168</definedName>
    <definedName name="OSRRefD13_2x_5" localSheetId="13">AvdResultat2022!$I$82,AvdResultat2022!$I$87,AvdResultat2022!$I$93,AvdResultat2022!$I$97,AvdResultat2022!$I$101,AvdResultat2022!$I$108,AvdResultat2022!$I$113,AvdResultat2022!$I$118,AvdResultat2022!$I$125,AvdResultat2022!$I$128,AvdResultat2022!$I$137,AvdResultat2022!$I$140,AvdResultat2022!$I$147,AvdResultat2022!$I$149</definedName>
    <definedName name="OSRRefD13_2x_5" localSheetId="14">AvdResultat2023!$I$88,AvdResultat2023!$I$94,AvdResultat2023!$I$100,AvdResultat2023!$I$105,AvdResultat2023!$I$109,AvdResultat2023!$I$117,AvdResultat2023!$I$123,AvdResultat2023!$I$129,AvdResultat2023!$I$137,AvdResultat2023!$I$139,AvdResultat2023!$I$149,AvdResultat2023!$I$152,AvdResultat2023!$I$160</definedName>
    <definedName name="OSRRefD13_2x_6" localSheetId="12">AvdResultat2021!#REF!,AvdResultat2021!#REF!,AvdResultat2021!#REF!,AvdResultat2021!#REF!,AvdResultat2021!#REF!,AvdResultat2021!#REF!,AvdResultat2021!#REF!,AvdResultat2021!#REF!,AvdResultat2021!#REF!,AvdResultat2021!#REF!,AvdResultat2021!#REF!,AvdResultat2021!#REF!,AvdResultat2021!#REF!,AvdResultat2021!#REF!</definedName>
    <definedName name="OSRRefD13_2x_6" localSheetId="13">AvdResultat2022!#REF!,AvdResultat2022!#REF!,AvdResultat2022!#REF!,AvdResultat2022!#REF!,AvdResultat2022!#REF!,AvdResultat2022!#REF!,AvdResultat2022!#REF!,AvdResultat2022!#REF!,AvdResultat2022!#REF!,AvdResultat2022!#REF!,AvdResultat2022!#REF!,AvdResultat2022!#REF!,AvdResultat2022!#REF!,AvdResultat2022!#REF!</definedName>
    <definedName name="OSRRefD13_2x_6" localSheetId="14">AvdResultat2023!#REF!,AvdResultat2023!#REF!,AvdResultat2023!#REF!,AvdResultat2023!#REF!,AvdResultat2023!#REF!,AvdResultat2023!#REF!,AvdResultat2023!#REF!,AvdResultat2023!#REF!,AvdResultat2023!#REF!,AvdResultat2023!#REF!,AvdResultat2023!#REF!,AvdResultat2023!#REF!,AvdResultat2023!#REF!</definedName>
    <definedName name="OSRRefD13_2x_7" localSheetId="12">AvdResultat2021!#REF!,AvdResultat2021!#REF!,AvdResultat2021!#REF!,AvdResultat2021!#REF!,AvdResultat2021!#REF!,AvdResultat2021!#REF!,AvdResultat2021!#REF!,AvdResultat2021!#REF!,AvdResultat2021!#REF!,AvdResultat2021!#REF!,AvdResultat2021!#REF!,AvdResultat2021!#REF!,AvdResultat2021!#REF!,AvdResultat2021!#REF!</definedName>
    <definedName name="OSRRefD13_2x_7" localSheetId="13">AvdResultat2022!#REF!,AvdResultat2022!#REF!,AvdResultat2022!#REF!,AvdResultat2022!#REF!,AvdResultat2022!#REF!,AvdResultat2022!#REF!,AvdResultat2022!#REF!,AvdResultat2022!#REF!,AvdResultat2022!#REF!,AvdResultat2022!#REF!,AvdResultat2022!#REF!,AvdResultat2022!#REF!,AvdResultat2022!#REF!,AvdResultat2022!#REF!</definedName>
    <definedName name="OSRRefD13_2x_7" localSheetId="14">AvdResultat2023!#REF!,AvdResultat2023!#REF!,AvdResultat2023!#REF!,AvdResultat2023!#REF!,AvdResultat2023!#REF!,AvdResultat2023!#REF!,AvdResultat2023!#REF!,AvdResultat2023!#REF!,AvdResultat2023!#REF!,AvdResultat2023!#REF!,AvdResultat2023!#REF!,AvdResultat2023!#REF!,AvdResultat2023!#REF!</definedName>
    <definedName name="OSRRefD13_2x_8" localSheetId="12">AvdResultat2021!#REF!,AvdResultat2021!#REF!,AvdResultat2021!#REF!,AvdResultat2021!#REF!,AvdResultat2021!#REF!,AvdResultat2021!#REF!,AvdResultat2021!#REF!,AvdResultat2021!#REF!,AvdResultat2021!#REF!,AvdResultat2021!#REF!,AvdResultat2021!#REF!,AvdResultat2021!#REF!,AvdResultat2021!#REF!,AvdResultat2021!#REF!</definedName>
    <definedName name="OSRRefD13_2x_8" localSheetId="13">AvdResultat2022!#REF!,AvdResultat2022!#REF!,AvdResultat2022!#REF!,AvdResultat2022!#REF!,AvdResultat2022!#REF!,AvdResultat2022!#REF!,AvdResultat2022!#REF!,AvdResultat2022!#REF!,AvdResultat2022!#REF!,AvdResultat2022!#REF!,AvdResultat2022!#REF!,AvdResultat2022!#REF!,AvdResultat2022!#REF!,AvdResultat2022!#REF!</definedName>
    <definedName name="OSRRefD13_2x_8" localSheetId="14">AvdResultat2023!#REF!,AvdResultat2023!#REF!,AvdResultat2023!#REF!,AvdResultat2023!#REF!,AvdResultat2023!#REF!,AvdResultat2023!#REF!,AvdResultat2023!#REF!,AvdResultat2023!#REF!,AvdResultat2023!#REF!,AvdResultat2023!#REF!,AvdResultat2023!#REF!,AvdResultat2023!#REF!,AvdResultat2023!#REF!</definedName>
    <definedName name="OSRRefD13_2x_9" localSheetId="12">AvdResultat2021!#REF!,AvdResultat2021!#REF!,AvdResultat2021!#REF!,AvdResultat2021!#REF!,AvdResultat2021!#REF!,AvdResultat2021!#REF!,AvdResultat2021!#REF!,AvdResultat2021!#REF!,AvdResultat2021!#REF!,AvdResultat2021!#REF!,AvdResultat2021!#REF!,AvdResultat2021!#REF!,AvdResultat2021!#REF!,AvdResultat2021!#REF!</definedName>
    <definedName name="OSRRefD13_2x_9" localSheetId="13">AvdResultat2022!#REF!,AvdResultat2022!#REF!,AvdResultat2022!#REF!,AvdResultat2022!#REF!,AvdResultat2022!#REF!,AvdResultat2022!#REF!,AvdResultat2022!#REF!,AvdResultat2022!#REF!,AvdResultat2022!#REF!,AvdResultat2022!#REF!,AvdResultat2022!#REF!,AvdResultat2022!#REF!,AvdResultat2022!#REF!,AvdResultat2022!#REF!</definedName>
    <definedName name="OSRRefD13_2x_9" localSheetId="14">AvdResultat2023!#REF!,AvdResultat2023!#REF!,AvdResultat2023!#REF!,AvdResultat2023!#REF!,AvdResultat2023!#REF!,AvdResultat2023!#REF!,AvdResultat2023!#REF!,AvdResultat2023!#REF!,AvdResultat2023!#REF!,AvdResultat2023!#REF!,AvdResultat2023!#REF!,AvdResultat2023!#REF!,AvdResultat2023!#REF!</definedName>
    <definedName name="OSRRefD14x_0" localSheetId="12">AvdResultat2021!$D$41,AvdResultat2021!$D$94,AvdResultat2021!$D$169</definedName>
    <definedName name="OSRRefD14x_0" localSheetId="13">AvdResultat2022!$D$44,AvdResultat2022!$D$80,AvdResultat2022!$D$150</definedName>
    <definedName name="OSRRefD14x_0" localSheetId="14">AvdResultat2023!$D$45,AvdResultat2023!$D$86,AvdResultat2023!$D$161</definedName>
    <definedName name="OSRRefD14x_0" localSheetId="11">AvdSammenstilling!$D$41,AvdSammenstilling!$D$94,AvdSammenstilling!$D$169</definedName>
    <definedName name="OSRRefD14x_1" localSheetId="12">AvdResultat2021!$E$41,AvdResultat2021!$E$94,AvdResultat2021!$E$169</definedName>
    <definedName name="OSRRefD14x_1" localSheetId="13">AvdResultat2022!$E$44,AvdResultat2022!$E$80,AvdResultat2022!$E$150</definedName>
    <definedName name="OSRRefD14x_1" localSheetId="14">AvdResultat2023!$E$45,AvdResultat2023!$E$86,AvdResultat2023!$E$161</definedName>
    <definedName name="OSRRefD14x_1" localSheetId="11">AvdSammenstilling!$E$41,AvdSammenstilling!$E$94,AvdSammenstilling!$E$169</definedName>
    <definedName name="OSRRefD14x_2" localSheetId="12">AvdResultat2021!$F$41,AvdResultat2021!$F$94,AvdResultat2021!$F$169</definedName>
    <definedName name="OSRRefD14x_2" localSheetId="13">AvdResultat2022!$F$44,AvdResultat2022!$F$80,AvdResultat2022!$F$150</definedName>
    <definedName name="OSRRefD14x_2" localSheetId="14">AvdResultat2023!$F$45,AvdResultat2023!$F$86,AvdResultat2023!$F$161</definedName>
    <definedName name="OSRRefD14x_2" localSheetId="11">AvdSammenstilling!$F$41,AvdSammenstilling!$F$94,AvdSammenstilling!$F$169</definedName>
    <definedName name="OSRRefD14x_3" localSheetId="12">AvdResultat2021!$G$41,AvdResultat2021!$G$94,AvdResultat2021!$G$169</definedName>
    <definedName name="OSRRefD14x_3" localSheetId="13">AvdResultat2022!$G$44,AvdResultat2022!$G$80,AvdResultat2022!$G$150</definedName>
    <definedName name="OSRRefD14x_3" localSheetId="14">AvdResultat2023!$G$45,AvdResultat2023!$G$86,AvdResultat2023!$G$161</definedName>
    <definedName name="OSRRefD14x_3" localSheetId="11">AvdSammenstilling!$G$41,AvdSammenstilling!$G$94,AvdSammenstilling!$G$169</definedName>
    <definedName name="OSRRefD14x_4" localSheetId="12">AvdResultat2021!$H$41,AvdResultat2021!$H$94,AvdResultat2021!$H$169</definedName>
    <definedName name="OSRRefD14x_4" localSheetId="13">AvdResultat2022!$H$44,AvdResultat2022!$H$80,AvdResultat2022!$H$150</definedName>
    <definedName name="OSRRefD14x_4" localSheetId="14">AvdResultat2023!$H$45,AvdResultat2023!$H$86,AvdResultat2023!$H$161</definedName>
    <definedName name="OSRRefD14x_4" localSheetId="11">AvdSammenstilling!$H$41,AvdSammenstilling!$H$94,AvdSammenstilling!$H$169</definedName>
    <definedName name="OSRRefD14x_5" localSheetId="12">AvdResultat2021!$I$41,AvdResultat2021!$I$94,AvdResultat2021!$I$169</definedName>
    <definedName name="OSRRefD14x_5" localSheetId="13">AvdResultat2022!$I$44,AvdResultat2022!$I$80,AvdResultat2022!$I$150</definedName>
    <definedName name="OSRRefD14x_5" localSheetId="14">AvdResultat2023!$I$45,AvdResultat2023!$I$86,AvdResultat2023!$I$161</definedName>
    <definedName name="OSRRefD14x_5" localSheetId="11">AvdSammenstilling!$I$41,AvdSammenstilling!$I$94,AvdSammenstilling!$I$169</definedName>
    <definedName name="OSRRefD14x_6" localSheetId="12">AvdResultat2021!#REF!,AvdResultat2021!#REF!,AvdResultat2021!#REF!</definedName>
    <definedName name="OSRRefD14x_6" localSheetId="13">AvdResultat2022!#REF!,AvdResultat2022!#REF!,AvdResultat2022!#REF!</definedName>
    <definedName name="OSRRefD14x_6" localSheetId="14">AvdResultat2023!#REF!,AvdResultat2023!#REF!,AvdResultat2023!#REF!</definedName>
    <definedName name="OSRRefD14x_7" localSheetId="12">AvdResultat2021!#REF!,AvdResultat2021!#REF!,AvdResultat2021!#REF!</definedName>
    <definedName name="OSRRefD14x_7" localSheetId="13">AvdResultat2022!#REF!,AvdResultat2022!#REF!,AvdResultat2022!#REF!</definedName>
    <definedName name="OSRRefD14x_7" localSheetId="14">AvdResultat2023!#REF!,AvdResultat2023!#REF!,AvdResultat2023!#REF!</definedName>
    <definedName name="OSRRefD14x_8" localSheetId="12">AvdResultat2021!#REF!,AvdResultat2021!#REF!,AvdResultat2021!#REF!</definedName>
    <definedName name="OSRRefD14x_8" localSheetId="13">AvdResultat2022!#REF!,AvdResultat2022!#REF!,AvdResultat2022!#REF!</definedName>
    <definedName name="OSRRefD14x_8" localSheetId="14">AvdResultat2023!#REF!,AvdResultat2023!#REF!,AvdResultat2023!#REF!</definedName>
    <definedName name="OSRRefD14x_9" localSheetId="12">AvdResultat2021!#REF!,AvdResultat2021!#REF!,AvdResultat2021!#REF!</definedName>
    <definedName name="OSRRefD14x_9" localSheetId="13">AvdResultat2022!#REF!,AvdResultat2022!#REF!,AvdResultat2022!#REF!</definedName>
    <definedName name="OSRRefD14x_9" localSheetId="14">AvdResultat2023!#REF!,AvdResultat2023!#REF!,AvdResultat2023!#REF!</definedName>
    <definedName name="OSRRefD18_1x_0" localSheetId="7">Budsjett2024!#REF!,Budsjett2024!#REF!,Budsjett2024!#REF!,Budsjett2024!#REF!,Budsjett2024!#REF!,Budsjett2024!#REF!,Budsjett2024!#REF!</definedName>
    <definedName name="OSRRefD18_1x_0" localSheetId="3">Resultat2020!$D$67,Resultat2020!$D$78,Resultat2020!$D$82,Resultat2020!$D$85,Resultat2020!$D$88,Resultat2020!$D$99,Resultat2020!$D$111</definedName>
    <definedName name="OSRRefD18_1x_0" localSheetId="4">Resultat2021!$D$67,Resultat2021!$D$79,Resultat2021!$D$83,Resultat2021!$D$86,Resultat2021!$D$89,Resultat2021!$D$100,Resultat2021!$D$112</definedName>
    <definedName name="OSRRefD18_1x_0" localSheetId="5">Resultat2022!$D$69,Resultat2022!$D$82,Resultat2022!$D$86,Resultat2022!$D$89,Resultat2022!$D$92,Resultat2022!$D$103,Resultat2022!$D$110</definedName>
    <definedName name="OSRRefD18_1x_0" localSheetId="6">Resultat2023!$D$68,Resultat2023!$D$81,Resultat2023!$D$85,Resultat2023!$D$88,Resultat2023!$D$92,Resultat2023!$D$103,Resultat2023!$D$106</definedName>
    <definedName name="OSRRefD18_2x_0" localSheetId="7">Budsjett2024!#REF!,Budsjett2024!#REF!,Budsjett2024!#REF!,Budsjett2024!#REF!,Budsjett2024!#REF!,Budsjett2024!#REF!,Budsjett2024!#REF!,Budsjett2024!#REF!,Budsjett2024!#REF!,Budsjett2024!#REF!,Budsjett2024!#REF!,Budsjett2024!#REF!,Budsjett2024!#REF!</definedName>
    <definedName name="OSRRefD18_2x_0" localSheetId="3">Resultat2020!$D$114,Resultat2020!$D$121,Resultat2020!$D$127,Resultat2020!$D$132,Resultat2020!$D$137,Resultat2020!$D$145,Resultat2020!$D$151,Resultat2020!$D$156,Resultat2020!$D$163,Resultat2020!$D$166,Resultat2020!$D$177,Resultat2020!$D$180,Resultat2020!$D$186,Resultat2020!$D$189</definedName>
    <definedName name="OSRRefD18_2x_0" localSheetId="4">Resultat2021!$D$115,Resultat2021!$D$121,Resultat2021!$D$127,Resultat2021!$D$132,Resultat2021!$D$137,Resultat2021!$D$145,Resultat2021!$D$151,Resultat2021!$D$155,Resultat2021!$D$163,Resultat2021!$D$166,Resultat2021!$D$178,Resultat2021!$D$181,Resultat2021!$D$189,Resultat2021!$D$192</definedName>
    <definedName name="OSRRefD18_2x_0" localSheetId="5">Resultat2022!$D$113,Resultat2022!$D$118,Resultat2022!$D$124,Resultat2022!$D$129,Resultat2022!$D$134,Resultat2022!$D$141,Resultat2022!$D$146,Resultat2022!$D$151,Resultat2022!$D$159,Resultat2022!$D$162,Resultat2022!$D$174,Resultat2022!$D$177,Resultat2022!$D$185,Resultat2022!$D$188</definedName>
    <definedName name="OSRRefD18_2x_0" localSheetId="6">Resultat2023!$D$109,Resultat2023!$D$115,Resultat2023!$D$121,Resultat2023!$D$126,Resultat2023!$D$131,Resultat2023!$D$139,Resultat2023!$D$145,Resultat2023!$D$151,Resultat2023!$D$159,Resultat2023!$D$162,Resultat2023!$D$173,Resultat2023!$D$176,Resultat2023!$D$185,Resultat2023!$D$187</definedName>
    <definedName name="OSRRefD19x_0" localSheetId="7">Budsjett2024!#REF!,Budsjett2024!#REF!,Budsjett2024!#REF!</definedName>
    <definedName name="OSRRefD19x_0" localSheetId="3">Resultat2020!$D$51,Resultat2020!$D$112,Resultat2020!$D$190</definedName>
    <definedName name="OSRRefD19x_0" localSheetId="4">Resultat2021!$D$51,Resultat2021!$D$113,Resultat2021!$D$193</definedName>
    <definedName name="OSRRefD19x_0" localSheetId="5">Resultat2022!$D$54,Resultat2022!$D$111,Resultat2022!$D$189</definedName>
    <definedName name="OSRRefD19x_0" localSheetId="6">Resultat2023!$D$55,Resultat2023!$D$107,Resultat2023!$D$188</definedName>
    <definedName name="OSRRefD8_2x_0" localSheetId="13">AvdResultat2022!$D$25,AvdResultat2022!$D$30,AvdResultat2022!$D$32,AvdResultat2022!$D$36</definedName>
    <definedName name="OSRRefD8_2x_1" localSheetId="13">AvdResultat2022!$E$25,AvdResultat2022!$E$30,AvdResultat2022!$E$32,AvdResultat2022!$E$36</definedName>
    <definedName name="OSRRefD8_2x_10" localSheetId="13">AvdResultat2022!#REF!,AvdResultat2022!#REF!,AvdResultat2022!#REF!,AvdResultat2022!#REF!</definedName>
    <definedName name="OSRRefD8_2x_11" localSheetId="13">AvdResultat2022!#REF!,AvdResultat2022!#REF!,AvdResultat2022!#REF!,AvdResultat2022!#REF!</definedName>
    <definedName name="OSRRefD8_2x_12" localSheetId="13">AvdResultat2022!$J$25,AvdResultat2022!$J$30,AvdResultat2022!$J$32,AvdResultat2022!$J$36</definedName>
    <definedName name="OSRRefD8_2x_13" localSheetId="13">AvdResultat2022!$K$25,AvdResultat2022!$K$30,AvdResultat2022!$K$32,AvdResultat2022!$K$36</definedName>
    <definedName name="OSRRefD8_2x_14" localSheetId="13">AvdResultat2022!$L$25,AvdResultat2022!$L$30,AvdResultat2022!$L$32,AvdResultat2022!$L$36</definedName>
    <definedName name="OSRRefD8_2x_15" localSheetId="13">AvdResultat2022!$M$25,AvdResultat2022!$M$30,AvdResultat2022!$M$32,AvdResultat2022!$M$36</definedName>
    <definedName name="OSRRefD8_2x_16" localSheetId="13">AvdResultat2022!$N$25,AvdResultat2022!$N$30,AvdResultat2022!$N$32,AvdResultat2022!$N$36</definedName>
    <definedName name="OSRRefD8_2x_17" localSheetId="13">AvdResultat2022!$O$25,AvdResultat2022!$O$30,AvdResultat2022!$O$32,AvdResultat2022!$O$36</definedName>
    <definedName name="OSRRefD8_2x_2" localSheetId="13">AvdResultat2022!$F$25,AvdResultat2022!$F$30,AvdResultat2022!$F$32,AvdResultat2022!$F$36</definedName>
    <definedName name="OSRRefD8_2x_3" localSheetId="13">AvdResultat2022!$G$25,AvdResultat2022!$G$30,AvdResultat2022!$G$32,AvdResultat2022!$G$36</definedName>
    <definedName name="OSRRefD8_2x_4" localSheetId="13">AvdResultat2022!$H$25,AvdResultat2022!$H$30,AvdResultat2022!$H$32,AvdResultat2022!$H$36</definedName>
    <definedName name="OSRRefD8_2x_5" localSheetId="13">AvdResultat2022!$I$25,AvdResultat2022!$I$30,AvdResultat2022!$I$32,AvdResultat2022!$I$36</definedName>
    <definedName name="OSRRefD8_2x_6" localSheetId="13">AvdResultat2022!#REF!,AvdResultat2022!#REF!,AvdResultat2022!#REF!,AvdResultat2022!#REF!</definedName>
    <definedName name="OSRRefD8_2x_7" localSheetId="13">AvdResultat2022!#REF!,AvdResultat2022!#REF!,AvdResultat2022!#REF!,AvdResultat2022!#REF!</definedName>
    <definedName name="OSRRefD8_2x_8" localSheetId="13">AvdResultat2022!#REF!,AvdResultat2022!#REF!,AvdResultat2022!#REF!,AvdResultat2022!#REF!</definedName>
    <definedName name="OSRRefD8_2x_9" localSheetId="13">AvdResultat2022!#REF!,AvdResultat2022!#REF!,AvdResultat2022!#REF!,AvdResultat2022!#REF!</definedName>
    <definedName name="OSRRefD9x_0" localSheetId="12">AvdResultat2021!$D$15,AvdResultat2021!$D$19,AvdResultat2021!$D$36</definedName>
    <definedName name="OSRRefD9x_0" localSheetId="13">AvdResultat2022!$D$15,AvdResultat2022!$D$20,AvdResultat2022!$D$37</definedName>
    <definedName name="OSRRefD9x_0" localSheetId="14">AvdResultat2023!$D$19,AvdResultat2023!$D$23,AvdResultat2023!$D$38</definedName>
    <definedName name="OSRRefD9x_1" localSheetId="12">AvdResultat2021!$E$15,AvdResultat2021!$E$19,AvdResultat2021!$E$36</definedName>
    <definedName name="OSRRefD9x_1" localSheetId="13">AvdResultat2022!$E$15,AvdResultat2022!$E$20,AvdResultat2022!$E$37</definedName>
    <definedName name="OSRRefD9x_1" localSheetId="14">AvdResultat2023!$E$19,AvdResultat2023!$E$23,AvdResultat2023!$E$38</definedName>
    <definedName name="OSRRefD9x_2" localSheetId="12">AvdResultat2021!$F$15,AvdResultat2021!$F$19,AvdResultat2021!$F$36</definedName>
    <definedName name="OSRRefD9x_2" localSheetId="13">AvdResultat2022!$F$15,AvdResultat2022!$F$20,AvdResultat2022!$F$37</definedName>
    <definedName name="OSRRefD9x_2" localSheetId="14">AvdResultat2023!$F$19,AvdResultat2023!$F$23,AvdResultat2023!$F$38</definedName>
    <definedName name="OSRRefD9x_3" localSheetId="12">AvdResultat2021!$G$15,AvdResultat2021!$G$19,AvdResultat2021!$G$36</definedName>
    <definedName name="OSRRefD9x_3" localSheetId="13">AvdResultat2022!$G$15,AvdResultat2022!$G$20,AvdResultat2022!$G$37</definedName>
    <definedName name="OSRRefD9x_3" localSheetId="14">AvdResultat2023!$G$19,AvdResultat2023!$G$23,AvdResultat2023!$G$38</definedName>
    <definedName name="OSRRefD9x_4" localSheetId="12">AvdResultat2021!$H$15,AvdResultat2021!$H$19,AvdResultat2021!$H$36</definedName>
    <definedName name="OSRRefD9x_4" localSheetId="13">AvdResultat2022!$H$15,AvdResultat2022!$H$20,AvdResultat2022!$H$37</definedName>
    <definedName name="OSRRefD9x_4" localSheetId="14">AvdResultat2023!$H$19,AvdResultat2023!$H$23,AvdResultat2023!$H$38</definedName>
    <definedName name="OSRRefD9x_5" localSheetId="12">AvdResultat2021!$I$15,AvdResultat2021!$I$19,AvdResultat2021!$I$36</definedName>
    <definedName name="OSRRefD9x_5" localSheetId="13">AvdResultat2022!$I$15,AvdResultat2022!$I$20,AvdResultat2022!$I$37</definedName>
    <definedName name="OSRRefD9x_5" localSheetId="14">AvdResultat2023!$I$19,AvdResultat2023!$I$23,AvdResultat2023!$I$38</definedName>
    <definedName name="OSRRefD9x_6" localSheetId="12">AvdResultat2021!#REF!,AvdResultat2021!#REF!,AvdResultat2021!#REF!</definedName>
    <definedName name="OSRRefD9x_6" localSheetId="13">AvdResultat2022!#REF!,AvdResultat2022!#REF!,AvdResultat2022!#REF!</definedName>
    <definedName name="OSRRefD9x_6" localSheetId="14">AvdResultat2023!#REF!,AvdResultat2023!#REF!,AvdResultat2023!#REF!</definedName>
    <definedName name="OSRRefD9x_7" localSheetId="12">AvdResultat2021!#REF!,AvdResultat2021!#REF!,AvdResultat2021!#REF!</definedName>
    <definedName name="OSRRefD9x_7" localSheetId="13">AvdResultat2022!#REF!,AvdResultat2022!#REF!,AvdResultat2022!#REF!</definedName>
    <definedName name="OSRRefD9x_7" localSheetId="14">AvdResultat2023!#REF!,AvdResultat2023!#REF!,AvdResultat2023!#REF!</definedName>
    <definedName name="OSRRefD9x_8" localSheetId="12">AvdResultat2021!#REF!,AvdResultat2021!#REF!,AvdResultat2021!#REF!</definedName>
    <definedName name="OSRRefD9x_8" localSheetId="13">AvdResultat2022!#REF!,AvdResultat2022!#REF!,AvdResultat2022!#REF!</definedName>
    <definedName name="OSRRefD9x_8" localSheetId="14">AvdResultat2023!#REF!,AvdResultat2023!#REF!,AvdResultat2023!#REF!</definedName>
    <definedName name="OSRRefD9x_9" localSheetId="12">AvdResultat2021!#REF!,AvdResultat2021!#REF!,AvdResultat2021!#REF!</definedName>
    <definedName name="OSRRefD9x_9" localSheetId="13">AvdResultat2022!#REF!,AvdResultat2022!#REF!,AvdResultat2022!#REF!</definedName>
    <definedName name="OSRRefD9x_9" localSheetId="14">AvdResultat2023!#REF!,AvdResultat2023!#REF!,AvdResultat2023!#REF!</definedName>
    <definedName name="OSRRefE13_1x" localSheetId="12">AvdResultat2021!$P$55,AvdResultat2021!$P$67,AvdResultat2021!$P$71,AvdResultat2021!$P$74,AvdResultat2021!$P$77,AvdResultat2021!$P$87,AvdResultat2021!$P$93</definedName>
    <definedName name="OSRRefE13_1x" localSheetId="13">AvdResultat2022!$P$54,AvdResultat2022!$P$61,AvdResultat2022!$P$64,AvdResultat2022!$P$67,AvdResultat2022!$P$70,AvdResultat2022!$P$79</definedName>
    <definedName name="OSRRefE13_1x" localSheetId="14">AvdResultat2023!$P$56,AvdResultat2023!$P$63,AvdResultat2023!$P$67,AvdResultat2023!$P$70,AvdResultat2023!$P$74,AvdResultat2023!$P$83,AvdResultat2023!$P$85</definedName>
    <definedName name="OSRRefE13_2x" localSheetId="12">AvdResultat2021!$P$96,AvdResultat2021!$P$101,AvdResultat2021!$P$106,AvdResultat2021!$P$111,AvdResultat2021!$P$116,AvdResultat2021!$P$123,AvdResultat2021!$P$128,AvdResultat2021!$P$132,AvdResultat2021!$P$140,AvdResultat2021!$P$143,AvdResultat2021!$P$155,AvdResultat2021!$P$158,AvdResultat2021!$P$165,AvdResultat2021!$P$168</definedName>
    <definedName name="OSRRefE13_2x" localSheetId="13">AvdResultat2022!$P$82,AvdResultat2022!$P$87,AvdResultat2022!$P$93,AvdResultat2022!$P$97,AvdResultat2022!$P$101,AvdResultat2022!$P$108,AvdResultat2022!$P$113,AvdResultat2022!$P$118,AvdResultat2022!$P$125,AvdResultat2022!$P$128,AvdResultat2022!$P$137,AvdResultat2022!$P$140,AvdResultat2022!$P$147,AvdResultat2022!$P$149</definedName>
    <definedName name="OSRRefE13_2x" localSheetId="14">AvdResultat2023!$P$88,AvdResultat2023!$P$94,AvdResultat2023!$P$100,AvdResultat2023!$P$105,AvdResultat2023!$P$109,AvdResultat2023!$P$117,AvdResultat2023!$P$123,AvdResultat2023!$P$129,AvdResultat2023!$P$137,AvdResultat2023!$P$139,AvdResultat2023!$P$149,AvdResultat2023!$P$152,AvdResultat2023!$P$160</definedName>
    <definedName name="OSRRefE13_2x_0" localSheetId="5">Resultat2022!$E$33,Resultat2022!$E$38,Resultat2022!$E$40,Resultat2022!$E$45</definedName>
    <definedName name="OSRRefE13_2x_0" localSheetId="6">Resultat2023!$E$35,Resultat2023!$E$40,Resultat2023!$E$42,Resultat2023!$E$47</definedName>
    <definedName name="OSRRefE14x" localSheetId="12">AvdResultat2021!$P$41,AvdResultat2021!$P$94,AvdResultat2021!$P$169</definedName>
    <definedName name="OSRRefE14x" localSheetId="13">AvdResultat2022!$P$44,AvdResultat2022!$P$80,AvdResultat2022!$P$150</definedName>
    <definedName name="OSRRefE14x" localSheetId="14">AvdResultat2023!$P$45,AvdResultat2023!$P$86,AvdResultat2023!$P$161</definedName>
    <definedName name="OSRRefE14x" localSheetId="11">AvdSammenstilling!$P$41,AvdSammenstilling!$P$94,AvdSammenstilling!$P$169</definedName>
    <definedName name="OSRRefE18_1x_0" localSheetId="7">Budsjett2024!$D$61,Budsjett2024!$D$68,Budsjett2024!$D$72,Budsjett2024!$D$75,Budsjett2024!$D$79,Budsjett2024!$D$89,Budsjett2024!$D$91</definedName>
    <definedName name="OSRRefE18_1x_0" localSheetId="3">Resultat2020!$E$67,Resultat2020!$E$78,Resultat2020!$E$82,Resultat2020!$E$85,Resultat2020!$E$88,Resultat2020!$E$99,Resultat2020!$E$111</definedName>
    <definedName name="OSRRefE18_1x_0" localSheetId="4">Resultat2021!$E$67,Resultat2021!$E$79,Resultat2021!$E$83,Resultat2021!$E$86,Resultat2021!$E$89,Resultat2021!$E$100,Resultat2021!$E$112</definedName>
    <definedName name="OSRRefE18_1x_0" localSheetId="5">Resultat2022!$E$69,Resultat2022!$E$82,Resultat2022!$E$86,Resultat2022!$E$89,Resultat2022!$E$92,Resultat2022!$E$103,Resultat2022!$E$110</definedName>
    <definedName name="OSRRefE18_1x_0" localSheetId="6">Resultat2023!$E$68,Resultat2023!$E$81,Resultat2023!$E$85,Resultat2023!$E$88,Resultat2023!$E$92,Resultat2023!$E$103,Resultat2023!$E$106</definedName>
    <definedName name="OSRRefE18_2x_0" localSheetId="7">Budsjett2024!$D$94,Budsjett2024!$D$100,Budsjett2024!$D$106,Budsjett2024!$D$111,Budsjett2024!$D$116,Budsjett2024!$D$124,Budsjett2024!$D$130,Budsjett2024!$D$135,Budsjett2024!$D$143,Budsjett2024!$D$145,Budsjett2024!$D$155,Budsjett2024!$D$158,Budsjett2024!$D$167</definedName>
    <definedName name="OSRRefE18_2x_0" localSheetId="3">Resultat2020!$E$114,Resultat2020!$E$121,Resultat2020!$E$127,Resultat2020!$E$132,Resultat2020!$E$137,Resultat2020!$E$145,Resultat2020!$E$151,Resultat2020!$E$156,Resultat2020!$E$163,Resultat2020!$E$166,Resultat2020!$E$177,Resultat2020!$E$180,Resultat2020!$E$186,Resultat2020!$E$189</definedName>
    <definedName name="OSRRefE18_2x_0" localSheetId="4">Resultat2021!$E$115,Resultat2021!$E$121,Resultat2021!$E$127,Resultat2021!$E$132,Resultat2021!$E$137,Resultat2021!$E$145,Resultat2021!$E$151,Resultat2021!$E$155,Resultat2021!$E$163,Resultat2021!$E$166,Resultat2021!$E$178,Resultat2021!$E$181,Resultat2021!$E$189,Resultat2021!$E$192</definedName>
    <definedName name="OSRRefE18_2x_0" localSheetId="5">Resultat2022!$E$113,Resultat2022!$E$118,Resultat2022!$E$124,Resultat2022!$E$129,Resultat2022!$E$134,Resultat2022!$E$141,Resultat2022!$E$146,Resultat2022!$E$151,Resultat2022!$E$159,Resultat2022!$E$162,Resultat2022!$E$174,Resultat2022!$E$177,Resultat2022!$E$185,Resultat2022!$E$188</definedName>
    <definedName name="OSRRefE18_2x_0" localSheetId="6">Resultat2023!$E$109,Resultat2023!$E$115,Resultat2023!$E$121,Resultat2023!$E$126,Resultat2023!$E$131,Resultat2023!$E$139,Resultat2023!$E$145,Resultat2023!$E$151,Resultat2023!$E$159,Resultat2023!$E$162,Resultat2023!$E$173,Resultat2023!$E$176,Resultat2023!$E$185,Resultat2023!$E$187</definedName>
    <definedName name="OSRRefE19x_0" localSheetId="7">Budsjett2024!$D$50,Budsjett2024!$D$92,Budsjett2024!$D$168</definedName>
    <definedName name="OSRRefE19x_0" localSheetId="3">Resultat2020!$E$51,Resultat2020!$E$112,Resultat2020!$E$190</definedName>
    <definedName name="OSRRefE19x_0" localSheetId="4">Resultat2021!$E$51,Resultat2021!$E$113,Resultat2021!$E$193</definedName>
    <definedName name="OSRRefE19x_0" localSheetId="5">Resultat2022!$E$54,Resultat2022!$E$111,Resultat2022!$E$189</definedName>
    <definedName name="OSRRefE19x_0" localSheetId="6">Resultat2023!$E$55,Resultat2023!$E$107,Resultat2023!$E$188</definedName>
    <definedName name="OSRRefF10_1x_0" localSheetId="8">Balanse2021!$F$19,Balanse2021!$F$29,Balanse2021!$F$37,Balanse2021!$F$39</definedName>
    <definedName name="OSRRefF10_1x_0" localSheetId="9">Balanse2022!$F$19,Balanse2022!$F$27,Balanse2022!$F$34,Balanse2022!$F$36</definedName>
    <definedName name="OSRRefF10_1x_0" localSheetId="10">Balanse2023!$F$21,Balanse2023!$F$35,Balanse2023!$F$42,Balanse2023!$F$46</definedName>
    <definedName name="OSRRefF25_1x_0" localSheetId="8">Balanse2021!$F$84,Balanse2021!$F$87,Balanse2021!$F$89,Balanse2021!$F$92</definedName>
    <definedName name="OSRRefF25_1x_0" localSheetId="9">Balanse2022!$F$81,Balanse2022!$F$84,Balanse2022!$F$86,Balanse2022!$F$89</definedName>
    <definedName name="OSRRefF25_1x_0" localSheetId="10">Balanse2023!$F$95,Balanse2023!$F$98,Balanse2023!$F$100,Balanse2023!$F$103</definedName>
    <definedName name="OSRRefG10_1x_0" localSheetId="8">Balanse2021!$G$19,Balanse2021!$G$29,Balanse2021!$G$37,Balanse2021!$G$39</definedName>
    <definedName name="OSRRefG10_1x_0" localSheetId="9">Balanse2022!$G$19,Balanse2022!$G$27,Balanse2022!$G$34,Balanse2022!$G$36</definedName>
    <definedName name="OSRRefG10_1x_0" localSheetId="10">Balanse2023!$G$21,Balanse2023!$G$35,Balanse2023!$G$42,Balanse2023!$G$46</definedName>
    <definedName name="OSRRefG25_1x_0" localSheetId="8">Balanse2021!$G$84,Balanse2021!$G$87,Balanse2021!$G$89,Balanse2021!$G$92</definedName>
    <definedName name="OSRRefG25_1x_0" localSheetId="9">Balanse2022!$G$81,Balanse2022!$G$84,Balanse2022!$G$86,Balanse2022!$G$89</definedName>
    <definedName name="OSRRefG25_1x_0" localSheetId="10">Balanse2023!$G$95,Balanse2023!$G$98,Balanse2023!$G$100,Balanse2023!$G$103</definedName>
    <definedName name="OSRRefH10_1x_0" localSheetId="8">Balanse2021!$H$19,Balanse2021!$H$29,Balanse2021!$H$37,Balanse2021!$H$39</definedName>
    <definedName name="OSRRefH10_1x_0" localSheetId="9">Balanse2022!$H$19,Balanse2022!$H$27,Balanse2022!$H$34,Balanse2022!$H$36</definedName>
    <definedName name="OSRRefH10_1x_0" localSheetId="10">Balanse2023!$H$21,Balanse2023!$H$35,Balanse2023!$H$42,Balanse2023!$H$46</definedName>
    <definedName name="OSRRefH25_1x_0" localSheetId="8">Balanse2021!$H$84,Balanse2021!$H$87,Balanse2021!$H$89,Balanse2021!$H$92</definedName>
    <definedName name="OSRRefH25_1x_0" localSheetId="9">Balanse2022!$H$81,Balanse2022!$H$84,Balanse2022!$H$86,Balanse2022!$H$89</definedName>
    <definedName name="OSRRefH25_1x_0" localSheetId="10">Balanse2023!$H$95,Balanse2023!$H$98,Balanse2023!$H$100,Balanse2023!$H$103</definedName>
    <definedName name="OSRRefI13_2x_0" localSheetId="5">Resultat2022!$I$33,Resultat2022!$I$38,Resultat2022!$I$40,Resultat2022!$I$45</definedName>
    <definedName name="OSRRefI13_2x_0" localSheetId="6">Resultat2023!$I$35,Resultat2023!$I$40,Resultat2023!$I$42,Resultat2023!$I$47</definedName>
    <definedName name="OSRRefI18_1x_0" localSheetId="7">Budsjett2024!#REF!,Budsjett2024!#REF!,Budsjett2024!#REF!,Budsjett2024!#REF!,Budsjett2024!#REF!,Budsjett2024!#REF!,Budsjett2024!#REF!</definedName>
    <definedName name="OSRRefI18_1x_0" localSheetId="3">Resultat2020!$I$67,Resultat2020!$I$78,Resultat2020!$I$82,Resultat2020!$I$85,Resultat2020!$I$88,Resultat2020!$I$99,Resultat2020!$I$111</definedName>
    <definedName name="OSRRefI18_1x_0" localSheetId="4">Resultat2021!$I$67,Resultat2021!$I$79,Resultat2021!$I$83,Resultat2021!$I$86,Resultat2021!$I$89,Resultat2021!$I$100,Resultat2021!$I$112</definedName>
    <definedName name="OSRRefI18_1x_0" localSheetId="5">Resultat2022!$I$69,Resultat2022!$I$82,Resultat2022!$I$86,Resultat2022!$I$89,Resultat2022!$I$92,Resultat2022!$I$103,Resultat2022!$I$110</definedName>
    <definedName name="OSRRefI18_1x_0" localSheetId="6">Resultat2023!$I$68,Resultat2023!$I$81,Resultat2023!$I$85,Resultat2023!$I$88,Resultat2023!$I$92,Resultat2023!$I$103,Resultat2023!$I$106</definedName>
    <definedName name="OSRRefI18_2x_0" localSheetId="7">Budsjett2024!#REF!,Budsjett2024!#REF!,Budsjett2024!#REF!,Budsjett2024!#REF!,Budsjett2024!#REF!,Budsjett2024!#REF!,Budsjett2024!#REF!,Budsjett2024!#REF!,Budsjett2024!#REF!,Budsjett2024!#REF!,Budsjett2024!#REF!,Budsjett2024!#REF!,Budsjett2024!#REF!</definedName>
    <definedName name="OSRRefI18_2x_0" localSheetId="3">Resultat2020!$I$114,Resultat2020!$I$121,Resultat2020!$I$127,Resultat2020!$I$132,Resultat2020!$I$137,Resultat2020!$I$145,Resultat2020!$I$151,Resultat2020!$I$156,Resultat2020!$I$163,Resultat2020!$I$166,Resultat2020!$I$177,Resultat2020!$I$180,Resultat2020!$I$186,Resultat2020!$I$189</definedName>
    <definedName name="OSRRefI18_2x_0" localSheetId="4">Resultat2021!$I$115,Resultat2021!$I$121,Resultat2021!$I$127,Resultat2021!$I$132,Resultat2021!$I$137,Resultat2021!$I$145,Resultat2021!$I$151,Resultat2021!$I$155,Resultat2021!$I$163,Resultat2021!$I$166,Resultat2021!$I$178,Resultat2021!$I$181,Resultat2021!$I$189,Resultat2021!$I$192</definedName>
    <definedName name="OSRRefI18_2x_0" localSheetId="5">Resultat2022!$I$113,Resultat2022!$I$118,Resultat2022!$I$124,Resultat2022!$I$129,Resultat2022!$I$134,Resultat2022!$I$141,Resultat2022!$I$146,Resultat2022!$I$151,Resultat2022!$I$159,Resultat2022!$I$162,Resultat2022!$I$174,Resultat2022!$I$177,Resultat2022!$I$185,Resultat2022!$I$188</definedName>
    <definedName name="OSRRefI18_2x_0" localSheetId="6">Resultat2023!$I$109,Resultat2023!$I$115,Resultat2023!$I$121,Resultat2023!$I$126,Resultat2023!$I$131,Resultat2023!$I$139,Resultat2023!$I$145,Resultat2023!$I$151,Resultat2023!$I$159,Resultat2023!$I$162,Resultat2023!$I$173,Resultat2023!$I$176,Resultat2023!$I$185,Resultat2023!$I$187</definedName>
    <definedName name="OSRRefI19x_0" localSheetId="7">Budsjett2024!#REF!,Budsjett2024!#REF!,Budsjett2024!#REF!</definedName>
    <definedName name="OSRRefI19x_0" localSheetId="3">Resultat2020!$I$51,Resultat2020!$I$112,Resultat2020!$I$190</definedName>
    <definedName name="OSRRefI19x_0" localSheetId="4">Resultat2021!$I$51,Resultat2021!$I$113,Resultat2021!$I$193</definedName>
    <definedName name="OSRRefI19x_0" localSheetId="5">Resultat2022!$I$54,Resultat2022!$I$111,Resultat2022!$I$189</definedName>
    <definedName name="OSRRefI19x_0" localSheetId="6">Resultat2023!$I$55,Resultat2023!$I$107,Resultat2023!$I$188</definedName>
    <definedName name="OSRRefM13_2x_0" localSheetId="5">Resultat2022!$M$33,Resultat2022!$M$38,Resultat2022!$M$40,Resultat2022!$M$45</definedName>
    <definedName name="OSRRefM13_2x_0" localSheetId="6">Resultat2023!$M$35,Resultat2023!$M$40,Resultat2023!$M$42,Resultat2023!$M$47</definedName>
    <definedName name="OSRRefM18_1x_0" localSheetId="7">Budsjett2024!#REF!,Budsjett2024!#REF!,Budsjett2024!#REF!,Budsjett2024!#REF!,Budsjett2024!#REF!,Budsjett2024!#REF!,Budsjett2024!#REF!</definedName>
    <definedName name="OSRRefM18_1x_0" localSheetId="3">Resultat2020!$M$67,Resultat2020!$M$78,Resultat2020!$M$82,Resultat2020!$M$85,Resultat2020!$M$88,Resultat2020!$M$99,Resultat2020!$M$111</definedName>
    <definedName name="OSRRefM18_1x_0" localSheetId="4">Resultat2021!$M$67,Resultat2021!$M$79,Resultat2021!$M$83,Resultat2021!$M$86,Resultat2021!$M$89,Resultat2021!$M$100,Resultat2021!$M$112</definedName>
    <definedName name="OSRRefM18_1x_0" localSheetId="5">Resultat2022!$M$69,Resultat2022!$M$82,Resultat2022!$M$86,Resultat2022!$M$89,Resultat2022!$M$92,Resultat2022!$M$103,Resultat2022!$M$110</definedName>
    <definedName name="OSRRefM18_1x_0" localSheetId="6">Resultat2023!$M$68,Resultat2023!$M$81,Resultat2023!$M$85,Resultat2023!$M$88,Resultat2023!$M$92,Resultat2023!$M$103,Resultat2023!$M$106</definedName>
    <definedName name="OSRRefM18_2x_0" localSheetId="7">Budsjett2024!#REF!,Budsjett2024!#REF!,Budsjett2024!#REF!,Budsjett2024!#REF!,Budsjett2024!#REF!,Budsjett2024!#REF!,Budsjett2024!#REF!,Budsjett2024!#REF!,Budsjett2024!#REF!,Budsjett2024!#REF!,Budsjett2024!#REF!,Budsjett2024!#REF!,Budsjett2024!#REF!</definedName>
    <definedName name="OSRRefM18_2x_0" localSheetId="3">Resultat2020!$M$114,Resultat2020!$M$121,Resultat2020!$M$127,Resultat2020!$M$132,Resultat2020!$M$137,Resultat2020!$M$145,Resultat2020!$M$151,Resultat2020!$M$156,Resultat2020!$M$163,Resultat2020!$M$166,Resultat2020!$M$177,Resultat2020!$M$180,Resultat2020!$M$186,Resultat2020!$M$189</definedName>
    <definedName name="OSRRefM18_2x_0" localSheetId="4">Resultat2021!$M$115,Resultat2021!$M$121,Resultat2021!$M$127,Resultat2021!$M$132,Resultat2021!$M$137,Resultat2021!$M$145,Resultat2021!$M$151,Resultat2021!$M$155,Resultat2021!$M$163,Resultat2021!$M$166,Resultat2021!$M$178,Resultat2021!$M$181,Resultat2021!$M$189,Resultat2021!$M$192</definedName>
    <definedName name="OSRRefM18_2x_0" localSheetId="5">Resultat2022!$M$113,Resultat2022!$M$118,Resultat2022!$M$124,Resultat2022!$M$129,Resultat2022!$M$134,Resultat2022!$M$141,Resultat2022!$M$146,Resultat2022!$M$151,Resultat2022!$M$159,Resultat2022!$M$162,Resultat2022!$M$174,Resultat2022!$M$177,Resultat2022!$M$185,Resultat2022!$M$188</definedName>
    <definedName name="OSRRefM18_2x_0" localSheetId="6">Resultat2023!$M$109,Resultat2023!$M$115,Resultat2023!$M$121,Resultat2023!$M$126,Resultat2023!$M$131,Resultat2023!$M$139,Resultat2023!$M$145,Resultat2023!$M$151,Resultat2023!$M$159,Resultat2023!$M$162,Resultat2023!$M$173,Resultat2023!$M$176,Resultat2023!$M$185,Resultat2023!$M$187</definedName>
    <definedName name="OSRRefM19x_0" localSheetId="7">Budsjett2024!#REF!,Budsjett2024!#REF!,Budsjett2024!#REF!</definedName>
    <definedName name="OSRRefM19x_0" localSheetId="3">Resultat2020!$M$51,Resultat2020!$M$112,Resultat2020!$M$190</definedName>
    <definedName name="OSRRefM19x_0" localSheetId="4">Resultat2021!$M$51,Resultat2021!$M$113,Resultat2021!$M$193</definedName>
    <definedName name="OSRRefM19x_0" localSheetId="5">Resultat2022!$M$54,Resultat2022!$M$111,Resultat2022!$M$189</definedName>
    <definedName name="OSRRefM19x_0" localSheetId="6">Resultat2023!$M$55,Resultat2023!$M$107,Resultat2023!$M$188</definedName>
    <definedName name="OSRRefN13_2x_0" localSheetId="5">Resultat2022!$N$33,Resultat2022!$N$38,Resultat2022!$N$40,Resultat2022!$N$45</definedName>
    <definedName name="OSRRefN13_2x_0" localSheetId="6">Resultat2023!$N$35,Resultat2023!$N$40,Resultat2023!$N$42,Resultat2023!$N$47</definedName>
    <definedName name="OSRRefN18_1x_0" localSheetId="7">Budsjett2024!#REF!,Budsjett2024!#REF!,Budsjett2024!#REF!,Budsjett2024!#REF!,Budsjett2024!#REF!,Budsjett2024!#REF!,Budsjett2024!#REF!</definedName>
    <definedName name="OSRRefN18_1x_0" localSheetId="3">Resultat2020!$N$67,Resultat2020!$N$78,Resultat2020!$N$82,Resultat2020!$N$85,Resultat2020!$N$88,Resultat2020!$N$99,Resultat2020!$N$111</definedName>
    <definedName name="OSRRefN18_1x_0" localSheetId="4">Resultat2021!$N$67,Resultat2021!$N$79,Resultat2021!$N$83,Resultat2021!$N$86,Resultat2021!$N$89,Resultat2021!$N$100,Resultat2021!$N$112</definedName>
    <definedName name="OSRRefN18_1x_0" localSheetId="5">Resultat2022!$N$69,Resultat2022!$N$82,Resultat2022!$N$86,Resultat2022!$N$89,Resultat2022!$N$92,Resultat2022!$N$103,Resultat2022!$N$110</definedName>
    <definedName name="OSRRefN18_1x_0" localSheetId="6">Resultat2023!$N$68,Resultat2023!$N$81,Resultat2023!$N$85,Resultat2023!$N$88,Resultat2023!$N$92,Resultat2023!$N$103,Resultat2023!$N$106</definedName>
    <definedName name="OSRRefN18_2x_0" localSheetId="7">Budsjett2024!#REF!,Budsjett2024!#REF!,Budsjett2024!#REF!,Budsjett2024!#REF!,Budsjett2024!#REF!,Budsjett2024!#REF!,Budsjett2024!#REF!,Budsjett2024!#REF!,Budsjett2024!#REF!,Budsjett2024!#REF!,Budsjett2024!#REF!,Budsjett2024!#REF!,Budsjett2024!#REF!</definedName>
    <definedName name="OSRRefN18_2x_0" localSheetId="3">Resultat2020!$N$114,Resultat2020!$N$121,Resultat2020!$N$127,Resultat2020!$N$132,Resultat2020!$N$137,Resultat2020!$N$145,Resultat2020!$N$151,Resultat2020!$N$156,Resultat2020!$N$163,Resultat2020!$N$166,Resultat2020!$N$177,Resultat2020!$N$180,Resultat2020!$N$186,Resultat2020!$N$189</definedName>
    <definedName name="OSRRefN18_2x_0" localSheetId="4">Resultat2021!$N$115,Resultat2021!$N$121,Resultat2021!$N$127,Resultat2021!$N$132,Resultat2021!$N$137,Resultat2021!$N$145,Resultat2021!$N$151,Resultat2021!$N$155,Resultat2021!$N$163,Resultat2021!$N$166,Resultat2021!$N$178,Resultat2021!$N$181,Resultat2021!$N$189,Resultat2021!$N$192</definedName>
    <definedName name="OSRRefN18_2x_0" localSheetId="5">Resultat2022!$N$113,Resultat2022!$N$118,Resultat2022!$N$124,Resultat2022!$N$129,Resultat2022!$N$134,Resultat2022!$N$141,Resultat2022!$N$146,Resultat2022!$N$151,Resultat2022!$N$159,Resultat2022!$N$162,Resultat2022!$N$174,Resultat2022!$N$177,Resultat2022!$N$185,Resultat2022!$N$188</definedName>
    <definedName name="OSRRefN18_2x_0" localSheetId="6">Resultat2023!$N$109,Resultat2023!$N$115,Resultat2023!$N$121,Resultat2023!$N$126,Resultat2023!$N$131,Resultat2023!$N$139,Resultat2023!$N$145,Resultat2023!$N$151,Resultat2023!$N$159,Resultat2023!$N$162,Resultat2023!$N$173,Resultat2023!$N$176,Resultat2023!$N$185,Resultat2023!$N$187</definedName>
    <definedName name="OSRRefN19x_0" localSheetId="7">Budsjett2024!#REF!,Budsjett2024!#REF!,Budsjett2024!#REF!</definedName>
    <definedName name="OSRRefN19x_0" localSheetId="3">Resultat2020!$N$51,Resultat2020!$N$112,Resultat2020!$N$190</definedName>
    <definedName name="OSRRefN19x_0" localSheetId="4">Resultat2021!$N$51,Resultat2021!$N$113,Resultat2021!$N$193</definedName>
    <definedName name="OSRRefN19x_0" localSheetId="5">Resultat2022!$N$54,Resultat2022!$N$111,Resultat2022!$N$189</definedName>
    <definedName name="OSRRefN19x_0" localSheetId="6">Resultat2023!$N$55,Resultat2023!$N$107,Resultat2023!$N$188</definedName>
    <definedName name="OSRRefR13_2x_0" localSheetId="5">Resultat2022!$R$33,Resultat2022!$R$38,Resultat2022!$R$40,Resultat2022!$R$45</definedName>
    <definedName name="OSRRefR13_2x_0" localSheetId="6">Resultat2023!$R$35,Resultat2023!$R$40,Resultat2023!$R$42,Resultat2023!$R$47</definedName>
    <definedName name="OSRRefR18_1x_0" localSheetId="7">Budsjett2024!#REF!,Budsjett2024!#REF!,Budsjett2024!#REF!,Budsjett2024!#REF!,Budsjett2024!#REF!,Budsjett2024!#REF!,Budsjett2024!#REF!</definedName>
    <definedName name="OSRRefR18_1x_0" localSheetId="3">Resultat2020!$R$67,Resultat2020!$R$78,Resultat2020!$R$82,Resultat2020!$R$85,Resultat2020!$R$88,Resultat2020!$R$99,Resultat2020!$R$111</definedName>
    <definedName name="OSRRefR18_1x_0" localSheetId="4">Resultat2021!$R$67,Resultat2021!$R$79,Resultat2021!$R$83,Resultat2021!$R$86,Resultat2021!$R$89,Resultat2021!$R$100,Resultat2021!$R$112</definedName>
    <definedName name="OSRRefR18_1x_0" localSheetId="5">Resultat2022!$R$69,Resultat2022!$R$82,Resultat2022!$R$86,Resultat2022!$R$89,Resultat2022!$R$92,Resultat2022!$R$103,Resultat2022!$R$110</definedName>
    <definedName name="OSRRefR18_1x_0" localSheetId="6">Resultat2023!$R$68,Resultat2023!$R$81,Resultat2023!$R$85,Resultat2023!$R$88,Resultat2023!$R$92,Resultat2023!$R$103,Resultat2023!$R$106</definedName>
    <definedName name="OSRRefR18_2x_0" localSheetId="7">Budsjett2024!#REF!,Budsjett2024!#REF!,Budsjett2024!#REF!,Budsjett2024!#REF!,Budsjett2024!#REF!,Budsjett2024!#REF!,Budsjett2024!#REF!,Budsjett2024!#REF!,Budsjett2024!#REF!,Budsjett2024!#REF!,Budsjett2024!#REF!,Budsjett2024!#REF!,Budsjett2024!#REF!</definedName>
    <definedName name="OSRRefR18_2x_0" localSheetId="3">Resultat2020!$R$114,Resultat2020!$R$121,Resultat2020!$R$127,Resultat2020!$R$132,Resultat2020!$R$137,Resultat2020!$R$145,Resultat2020!$R$151,Resultat2020!$R$156,Resultat2020!$R$163,Resultat2020!$R$166,Resultat2020!$R$177,Resultat2020!$R$180,Resultat2020!$R$186,Resultat2020!$R$189</definedName>
    <definedName name="OSRRefR18_2x_0" localSheetId="4">Resultat2021!$R$115,Resultat2021!$R$121,Resultat2021!$R$127,Resultat2021!$R$132,Resultat2021!$R$137,Resultat2021!$R$145,Resultat2021!$R$151,Resultat2021!$R$155,Resultat2021!$R$163,Resultat2021!$R$166,Resultat2021!$R$178,Resultat2021!$R$181,Resultat2021!$R$189,Resultat2021!$R$192</definedName>
    <definedName name="OSRRefR18_2x_0" localSheetId="5">Resultat2022!$R$113,Resultat2022!$R$118,Resultat2022!$R$124,Resultat2022!$R$129,Resultat2022!$R$134,Resultat2022!$R$141,Resultat2022!$R$146,Resultat2022!$R$151,Resultat2022!$R$159,Resultat2022!$R$162,Resultat2022!$R$174,Resultat2022!$R$177,Resultat2022!$R$185,Resultat2022!$R$188</definedName>
    <definedName name="OSRRefR18_2x_0" localSheetId="6">Resultat2023!$R$109,Resultat2023!$R$115,Resultat2023!$R$121,Resultat2023!$R$126,Resultat2023!$R$131,Resultat2023!$R$139,Resultat2023!$R$145,Resultat2023!$R$151,Resultat2023!$R$159,Resultat2023!$R$162,Resultat2023!$R$173,Resultat2023!$R$176,Resultat2023!$R$185,Resultat2023!$R$187</definedName>
    <definedName name="OSRRefR19x_0" localSheetId="7">Budsjett2024!#REF!,Budsjett2024!#REF!,Budsjett2024!#REF!</definedName>
    <definedName name="OSRRefR19x_0" localSheetId="3">Resultat2020!$R$51,Resultat2020!$R$112,Resultat2020!$R$190</definedName>
    <definedName name="OSRRefR19x_0" localSheetId="4">Resultat2021!$R$51,Resultat2021!$R$113,Resultat2021!$R$193</definedName>
    <definedName name="OSRRefR19x_0" localSheetId="5">Resultat2022!$R$54,Resultat2022!$R$111,Resultat2022!$R$189</definedName>
    <definedName name="OSRRefR19x_0" localSheetId="6">Resultat2023!$R$55,Resultat2023!$R$107,Resultat2023!$R$188</definedName>
    <definedName name="sum_aggregert" localSheetId="12">AvdResultat2021!$B$15:$P$15,AvdResultat2021!#REF!,AvdResultat2021!#REF!,AvdResultat2021!#REF!,AvdResultat2021!#REF!</definedName>
    <definedName name="sum_aggregert" localSheetId="13">AvdResultat2022!$B$15:$P$15,AvdResultat2022!#REF!,AvdResultat2022!#REF!,AvdResultat2022!#REF!,AvdResultat2022!#REF!</definedName>
    <definedName name="sum_aggregert" localSheetId="14">AvdResultat2023!$B$19:$P$19,AvdResultat2023!#REF!,AvdResultat2023!#REF!,AvdResultat2023!#REF!,AvdResultat2023!#REF!</definedName>
    <definedName name="sum_aggregert" localSheetId="11">#REF!,#REF!,#REF!,#REF!,#REF!</definedName>
    <definedName name="sum_aggregert" localSheetId="7">Budsjett2024!#REF!,Budsjett2024!#REF!,Budsjett2024!#REF!,Budsjett2024!#REF!,Budsjett2024!#REF!</definedName>
    <definedName name="sum_aggregert" localSheetId="3">Resultat2020!#REF!,Resultat2020!#REF!,Resultat2020!#REF!,Resultat2020!#REF!,Resultat2020!#REF!</definedName>
    <definedName name="sum_aggregert" localSheetId="4">Resultat2021!#REF!,Resultat2021!#REF!,Resultat2021!#REF!,Resultat2021!#REF!,Resultat2021!#REF!</definedName>
    <definedName name="sum_aggregert" localSheetId="5">Resultat2022!#REF!,Resultat2022!#REF!,Resultat2022!#REF!,Resultat2022!#REF!,Resultat2022!#REF!</definedName>
    <definedName name="sum_aggregert" localSheetId="6">Resultat2023!#REF!,Resultat2023!#REF!,Resultat2023!#REF!,Resultat2023!#REF!,Resultat2023!#REF!</definedName>
    <definedName name="sum_aggregert">#REF!,#REF!,#REF!,#REF!,#REF!</definedName>
    <definedName name="_xlnm.Print_Area" localSheetId="8">Balanse2021!$A$1:$H$104</definedName>
    <definedName name="_xlnm.Print_Area" localSheetId="9">Balanse2022!$A$1:$H$101</definedName>
    <definedName name="_xlnm.Print_Area" localSheetId="10">Balanse2023!$A$1:$H$117</definedName>
    <definedName name="_xlnm.Print_Titles" localSheetId="12">AvdResultat2021!$5:$5</definedName>
    <definedName name="_xlnm.Print_Titles" localSheetId="13">AvdResultat2022!$5:$5</definedName>
    <definedName name="_xlnm.Print_Titles" localSheetId="14">AvdResultat2023!$5:$5</definedName>
    <definedName name="_xlnm.Print_Titles" localSheetId="7">Budsjett2024!$9:$10</definedName>
    <definedName name="_xlnm.Print_Titles" localSheetId="3">Resultat2020!$9:$10</definedName>
    <definedName name="_xlnm.Print_Titles" localSheetId="4">Resultat2021!$9:$10</definedName>
    <definedName name="_xlnm.Print_Titles" localSheetId="5">Resultat2022!$9:$10</definedName>
    <definedName name="_xlnm.Print_Titles" localSheetId="6">Resultat2023!$9:$10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89" i="21" l="1"/>
  <c r="O190" i="21" s="1"/>
  <c r="B189" i="21"/>
  <c r="O188" i="21"/>
  <c r="N188" i="21"/>
  <c r="N189" i="21" s="1"/>
  <c r="N190" i="21" s="1"/>
  <c r="M188" i="21"/>
  <c r="L188" i="21"/>
  <c r="P188" i="21" s="1"/>
  <c r="K188" i="21"/>
  <c r="J188" i="21"/>
  <c r="I188" i="21"/>
  <c r="H188" i="21"/>
  <c r="G188" i="21"/>
  <c r="F188" i="21"/>
  <c r="E188" i="21"/>
  <c r="D188" i="21"/>
  <c r="O187" i="21"/>
  <c r="N187" i="21"/>
  <c r="M187" i="21"/>
  <c r="L187" i="21"/>
  <c r="K187" i="21"/>
  <c r="J187" i="21"/>
  <c r="I187" i="21"/>
  <c r="P187" i="21" s="1"/>
  <c r="H187" i="21"/>
  <c r="G187" i="21"/>
  <c r="F187" i="21"/>
  <c r="E187" i="21"/>
  <c r="D187" i="21"/>
  <c r="O186" i="21"/>
  <c r="N186" i="21"/>
  <c r="M186" i="21"/>
  <c r="L186" i="21"/>
  <c r="K186" i="21"/>
  <c r="J186" i="21"/>
  <c r="I186" i="21"/>
  <c r="H186" i="21"/>
  <c r="G186" i="21"/>
  <c r="F186" i="21"/>
  <c r="P186" i="21" s="1"/>
  <c r="E186" i="21"/>
  <c r="D186" i="21"/>
  <c r="O185" i="21"/>
  <c r="N185" i="21"/>
  <c r="M185" i="21"/>
  <c r="L185" i="21"/>
  <c r="K185" i="21"/>
  <c r="J185" i="21"/>
  <c r="I185" i="21"/>
  <c r="H185" i="21"/>
  <c r="G185" i="21"/>
  <c r="F185" i="21"/>
  <c r="E185" i="21"/>
  <c r="D185" i="21"/>
  <c r="P185" i="21" s="1"/>
  <c r="P184" i="21"/>
  <c r="O184" i="21"/>
  <c r="N184" i="21"/>
  <c r="M184" i="21"/>
  <c r="M189" i="21" s="1"/>
  <c r="M190" i="21" s="1"/>
  <c r="L184" i="21"/>
  <c r="L189" i="21" s="1"/>
  <c r="L190" i="21" s="1"/>
  <c r="K184" i="21"/>
  <c r="K189" i="21" s="1"/>
  <c r="K190" i="21" s="1"/>
  <c r="J184" i="21"/>
  <c r="J189" i="21" s="1"/>
  <c r="J190" i="21" s="1"/>
  <c r="I184" i="21"/>
  <c r="I189" i="21" s="1"/>
  <c r="I190" i="21" s="1"/>
  <c r="H184" i="21"/>
  <c r="H189" i="21" s="1"/>
  <c r="H190" i="21" s="1"/>
  <c r="G184" i="21"/>
  <c r="G189" i="21" s="1"/>
  <c r="G190" i="21" s="1"/>
  <c r="F184" i="21"/>
  <c r="F189" i="21" s="1"/>
  <c r="F190" i="21" s="1"/>
  <c r="E184" i="21"/>
  <c r="E189" i="21" s="1"/>
  <c r="E190" i="21" s="1"/>
  <c r="D184" i="21"/>
  <c r="D189" i="21" s="1"/>
  <c r="D190" i="21" s="1"/>
  <c r="F178" i="21"/>
  <c r="F179" i="21" s="1"/>
  <c r="E178" i="21"/>
  <c r="E179" i="21" s="1"/>
  <c r="B178" i="21"/>
  <c r="O177" i="21"/>
  <c r="N177" i="21"/>
  <c r="M177" i="21"/>
  <c r="L177" i="21"/>
  <c r="K177" i="21"/>
  <c r="J177" i="21"/>
  <c r="I177" i="21"/>
  <c r="H177" i="21"/>
  <c r="G177" i="21"/>
  <c r="F177" i="21"/>
  <c r="E177" i="21"/>
  <c r="D177" i="21"/>
  <c r="P177" i="21" s="1"/>
  <c r="O176" i="21"/>
  <c r="N176" i="21"/>
  <c r="M176" i="21"/>
  <c r="L176" i="21"/>
  <c r="K176" i="21"/>
  <c r="J176" i="21"/>
  <c r="I176" i="21"/>
  <c r="H176" i="21"/>
  <c r="G176" i="21"/>
  <c r="F176" i="21"/>
  <c r="E176" i="21"/>
  <c r="D176" i="21"/>
  <c r="P176" i="21" s="1"/>
  <c r="O175" i="21"/>
  <c r="N175" i="21"/>
  <c r="M175" i="21"/>
  <c r="L175" i="21"/>
  <c r="P175" i="21" s="1"/>
  <c r="K175" i="21"/>
  <c r="J175" i="21"/>
  <c r="I175" i="21"/>
  <c r="H175" i="21"/>
  <c r="G175" i="21"/>
  <c r="F175" i="21"/>
  <c r="E175" i="21"/>
  <c r="D175" i="21"/>
  <c r="O174" i="21"/>
  <c r="N174" i="21"/>
  <c r="M174" i="21"/>
  <c r="L174" i="21"/>
  <c r="K174" i="21"/>
  <c r="J174" i="21"/>
  <c r="I174" i="21"/>
  <c r="P174" i="21" s="1"/>
  <c r="H174" i="21"/>
  <c r="G174" i="21"/>
  <c r="F174" i="21"/>
  <c r="E174" i="21"/>
  <c r="D174" i="21"/>
  <c r="O173" i="21"/>
  <c r="O178" i="21" s="1"/>
  <c r="O179" i="21" s="1"/>
  <c r="N173" i="21"/>
  <c r="N178" i="21" s="1"/>
  <c r="N179" i="21" s="1"/>
  <c r="M173" i="21"/>
  <c r="M178" i="21" s="1"/>
  <c r="M179" i="21" s="1"/>
  <c r="L173" i="21"/>
  <c r="L178" i="21" s="1"/>
  <c r="L179" i="21" s="1"/>
  <c r="K173" i="21"/>
  <c r="K178" i="21" s="1"/>
  <c r="K179" i="21" s="1"/>
  <c r="J173" i="21"/>
  <c r="J178" i="21" s="1"/>
  <c r="J179" i="21" s="1"/>
  <c r="I173" i="21"/>
  <c r="H173" i="21"/>
  <c r="H178" i="21" s="1"/>
  <c r="H179" i="21" s="1"/>
  <c r="G173" i="21"/>
  <c r="G178" i="21" s="1"/>
  <c r="G179" i="21" s="1"/>
  <c r="F173" i="21"/>
  <c r="P173" i="21" s="1"/>
  <c r="E173" i="21"/>
  <c r="D173" i="21"/>
  <c r="B171" i="21"/>
  <c r="P170" i="21"/>
  <c r="O170" i="21"/>
  <c r="N170" i="21"/>
  <c r="M170" i="21"/>
  <c r="L170" i="21"/>
  <c r="K170" i="21"/>
  <c r="J170" i="21"/>
  <c r="I170" i="21"/>
  <c r="H170" i="21"/>
  <c r="G170" i="21"/>
  <c r="F170" i="21"/>
  <c r="E170" i="21"/>
  <c r="D170" i="21"/>
  <c r="O169" i="21"/>
  <c r="N169" i="21"/>
  <c r="M169" i="21"/>
  <c r="L169" i="21"/>
  <c r="K169" i="21"/>
  <c r="P169" i="21" s="1"/>
  <c r="J169" i="21"/>
  <c r="I169" i="21"/>
  <c r="H169" i="21"/>
  <c r="G169" i="21"/>
  <c r="F169" i="21"/>
  <c r="E169" i="21"/>
  <c r="D169" i="21"/>
  <c r="O168" i="21"/>
  <c r="N168" i="21"/>
  <c r="M168" i="21"/>
  <c r="L168" i="21"/>
  <c r="K168" i="21"/>
  <c r="J168" i="21"/>
  <c r="I168" i="21"/>
  <c r="H168" i="21"/>
  <c r="P168" i="21" s="1"/>
  <c r="G168" i="21"/>
  <c r="F168" i="21"/>
  <c r="E168" i="21"/>
  <c r="D168" i="21"/>
  <c r="O167" i="21"/>
  <c r="O171" i="21" s="1"/>
  <c r="O172" i="21" s="1"/>
  <c r="O180" i="21" s="1"/>
  <c r="N167" i="21"/>
  <c r="M167" i="21"/>
  <c r="L167" i="21"/>
  <c r="K167" i="21"/>
  <c r="J167" i="21"/>
  <c r="I167" i="21"/>
  <c r="H167" i="21"/>
  <c r="G167" i="21"/>
  <c r="F167" i="21"/>
  <c r="E167" i="21"/>
  <c r="E171" i="21" s="1"/>
  <c r="E172" i="21" s="1"/>
  <c r="E180" i="21" s="1"/>
  <c r="D167" i="21"/>
  <c r="P167" i="21" s="1"/>
  <c r="O166" i="21"/>
  <c r="N166" i="21"/>
  <c r="N171" i="21" s="1"/>
  <c r="N172" i="21" s="1"/>
  <c r="M166" i="21"/>
  <c r="M171" i="21" s="1"/>
  <c r="M172" i="21" s="1"/>
  <c r="L166" i="21"/>
  <c r="L171" i="21" s="1"/>
  <c r="L172" i="21" s="1"/>
  <c r="K166" i="21"/>
  <c r="K171" i="21" s="1"/>
  <c r="K172" i="21" s="1"/>
  <c r="J166" i="21"/>
  <c r="J171" i="21" s="1"/>
  <c r="J172" i="21" s="1"/>
  <c r="J180" i="21" s="1"/>
  <c r="I166" i="21"/>
  <c r="I171" i="21" s="1"/>
  <c r="I172" i="21" s="1"/>
  <c r="H166" i="21"/>
  <c r="H171" i="21" s="1"/>
  <c r="H172" i="21" s="1"/>
  <c r="G166" i="21"/>
  <c r="G171" i="21" s="1"/>
  <c r="G172" i="21" s="1"/>
  <c r="F166" i="21"/>
  <c r="F171" i="21" s="1"/>
  <c r="F172" i="21" s="1"/>
  <c r="E166" i="21"/>
  <c r="D166" i="21"/>
  <c r="P166" i="21" s="1"/>
  <c r="I160" i="21"/>
  <c r="H160" i="21"/>
  <c r="B160" i="21"/>
  <c r="O159" i="21"/>
  <c r="N159" i="21"/>
  <c r="M159" i="21"/>
  <c r="L159" i="21"/>
  <c r="K159" i="21"/>
  <c r="J159" i="21"/>
  <c r="I159" i="21"/>
  <c r="H159" i="21"/>
  <c r="G159" i="21"/>
  <c r="F159" i="21"/>
  <c r="F160" i="21" s="1"/>
  <c r="E159" i="21"/>
  <c r="D159" i="21"/>
  <c r="P159" i="21" s="1"/>
  <c r="O158" i="21"/>
  <c r="N158" i="21"/>
  <c r="M158" i="21"/>
  <c r="L158" i="21"/>
  <c r="K158" i="21"/>
  <c r="J158" i="21"/>
  <c r="I158" i="21"/>
  <c r="H158" i="21"/>
  <c r="G158" i="21"/>
  <c r="F158" i="21"/>
  <c r="E158" i="21"/>
  <c r="D158" i="21"/>
  <c r="P158" i="21" s="1"/>
  <c r="P157" i="21"/>
  <c r="O157" i="21"/>
  <c r="N157" i="21"/>
  <c r="M157" i="21"/>
  <c r="L157" i="21"/>
  <c r="K157" i="21"/>
  <c r="J157" i="21"/>
  <c r="I157" i="21"/>
  <c r="H157" i="21"/>
  <c r="G157" i="21"/>
  <c r="F157" i="21"/>
  <c r="E157" i="21"/>
  <c r="D157" i="21"/>
  <c r="O156" i="21"/>
  <c r="N156" i="21"/>
  <c r="M156" i="21"/>
  <c r="L156" i="21"/>
  <c r="K156" i="21"/>
  <c r="P156" i="21" s="1"/>
  <c r="J156" i="21"/>
  <c r="I156" i="21"/>
  <c r="H156" i="21"/>
  <c r="G156" i="21"/>
  <c r="F156" i="21"/>
  <c r="E156" i="21"/>
  <c r="D156" i="21"/>
  <c r="O155" i="21"/>
  <c r="O160" i="21" s="1"/>
  <c r="N155" i="21"/>
  <c r="M155" i="21"/>
  <c r="M160" i="21" s="1"/>
  <c r="L155" i="21"/>
  <c r="K155" i="21"/>
  <c r="K160" i="21" s="1"/>
  <c r="J155" i="21"/>
  <c r="I155" i="21"/>
  <c r="H155" i="21"/>
  <c r="P155" i="21" s="1"/>
  <c r="G155" i="21"/>
  <c r="F155" i="21"/>
  <c r="E155" i="21"/>
  <c r="D155" i="21"/>
  <c r="O154" i="21"/>
  <c r="N154" i="21"/>
  <c r="N160" i="21" s="1"/>
  <c r="M154" i="21"/>
  <c r="L154" i="21"/>
  <c r="L160" i="21" s="1"/>
  <c r="K154" i="21"/>
  <c r="J154" i="21"/>
  <c r="J160" i="21" s="1"/>
  <c r="I154" i="21"/>
  <c r="H154" i="21"/>
  <c r="G154" i="21"/>
  <c r="F154" i="21"/>
  <c r="E154" i="21"/>
  <c r="D154" i="21"/>
  <c r="P154" i="21" s="1"/>
  <c r="O153" i="21"/>
  <c r="N153" i="21"/>
  <c r="M153" i="21"/>
  <c r="L153" i="21"/>
  <c r="K153" i="21"/>
  <c r="J153" i="21"/>
  <c r="I153" i="21"/>
  <c r="H153" i="21"/>
  <c r="G153" i="21"/>
  <c r="G160" i="21" s="1"/>
  <c r="F153" i="21"/>
  <c r="E153" i="21"/>
  <c r="E160" i="21" s="1"/>
  <c r="D153" i="21"/>
  <c r="D160" i="21" s="1"/>
  <c r="I152" i="21"/>
  <c r="H152" i="21"/>
  <c r="G152" i="21"/>
  <c r="F152" i="21"/>
  <c r="E152" i="21"/>
  <c r="D152" i="21"/>
  <c r="B152" i="21"/>
  <c r="O151" i="21"/>
  <c r="O152" i="21" s="1"/>
  <c r="N151" i="21"/>
  <c r="M151" i="21"/>
  <c r="P151" i="21" s="1"/>
  <c r="L151" i="21"/>
  <c r="K151" i="21"/>
  <c r="J151" i="21"/>
  <c r="I151" i="21"/>
  <c r="H151" i="21"/>
  <c r="G151" i="21"/>
  <c r="F151" i="21"/>
  <c r="E151" i="21"/>
  <c r="D151" i="21"/>
  <c r="O150" i="21"/>
  <c r="N150" i="21"/>
  <c r="N152" i="21" s="1"/>
  <c r="M150" i="21"/>
  <c r="M152" i="21" s="1"/>
  <c r="L150" i="21"/>
  <c r="L152" i="21" s="1"/>
  <c r="K150" i="21"/>
  <c r="K152" i="21" s="1"/>
  <c r="J150" i="21"/>
  <c r="J152" i="21" s="1"/>
  <c r="I150" i="21"/>
  <c r="H150" i="21"/>
  <c r="G150" i="21"/>
  <c r="F150" i="21"/>
  <c r="E150" i="21"/>
  <c r="D150" i="21"/>
  <c r="I149" i="21"/>
  <c r="B149" i="21"/>
  <c r="O148" i="21"/>
  <c r="N148" i="21"/>
  <c r="M148" i="21"/>
  <c r="L148" i="21"/>
  <c r="K148" i="21"/>
  <c r="J148" i="21"/>
  <c r="I148" i="21"/>
  <c r="H148" i="21"/>
  <c r="G148" i="21"/>
  <c r="G149" i="21" s="1"/>
  <c r="F148" i="21"/>
  <c r="E148" i="21"/>
  <c r="D148" i="21"/>
  <c r="P148" i="21" s="1"/>
  <c r="O147" i="21"/>
  <c r="N147" i="21"/>
  <c r="M147" i="21"/>
  <c r="L147" i="21"/>
  <c r="K147" i="21"/>
  <c r="J147" i="21"/>
  <c r="I147" i="21"/>
  <c r="H147" i="21"/>
  <c r="G147" i="21"/>
  <c r="F147" i="21"/>
  <c r="E147" i="21"/>
  <c r="D147" i="21"/>
  <c r="P147" i="21" s="1"/>
  <c r="O146" i="21"/>
  <c r="N146" i="21"/>
  <c r="M146" i="21"/>
  <c r="L146" i="21"/>
  <c r="K146" i="21"/>
  <c r="J146" i="21"/>
  <c r="I146" i="21"/>
  <c r="H146" i="21"/>
  <c r="G146" i="21"/>
  <c r="F146" i="21"/>
  <c r="E146" i="21"/>
  <c r="D146" i="21"/>
  <c r="P146" i="21" s="1"/>
  <c r="O145" i="21"/>
  <c r="N145" i="21"/>
  <c r="M145" i="21"/>
  <c r="L145" i="21"/>
  <c r="P145" i="21" s="1"/>
  <c r="K145" i="21"/>
  <c r="J145" i="21"/>
  <c r="I145" i="21"/>
  <c r="H145" i="21"/>
  <c r="G145" i="21"/>
  <c r="F145" i="21"/>
  <c r="E145" i="21"/>
  <c r="D145" i="21"/>
  <c r="O144" i="21"/>
  <c r="N144" i="21"/>
  <c r="M144" i="21"/>
  <c r="L144" i="21"/>
  <c r="L149" i="21" s="1"/>
  <c r="K144" i="21"/>
  <c r="K149" i="21" s="1"/>
  <c r="J144" i="21"/>
  <c r="I144" i="21"/>
  <c r="P144" i="21" s="1"/>
  <c r="H144" i="21"/>
  <c r="G144" i="21"/>
  <c r="F144" i="21"/>
  <c r="E144" i="21"/>
  <c r="D144" i="21"/>
  <c r="O143" i="21"/>
  <c r="N143" i="21"/>
  <c r="M143" i="21"/>
  <c r="L143" i="21"/>
  <c r="K143" i="21"/>
  <c r="J143" i="21"/>
  <c r="J149" i="21" s="1"/>
  <c r="I143" i="21"/>
  <c r="H143" i="21"/>
  <c r="G143" i="21"/>
  <c r="F143" i="21"/>
  <c r="P143" i="21" s="1"/>
  <c r="E143" i="21"/>
  <c r="D143" i="21"/>
  <c r="O142" i="21"/>
  <c r="N142" i="21"/>
  <c r="M142" i="21"/>
  <c r="L142" i="21"/>
  <c r="K142" i="21"/>
  <c r="J142" i="21"/>
  <c r="I142" i="21"/>
  <c r="H142" i="21"/>
  <c r="H149" i="21" s="1"/>
  <c r="G142" i="21"/>
  <c r="F142" i="21"/>
  <c r="E142" i="21"/>
  <c r="D142" i="21"/>
  <c r="P142" i="21" s="1"/>
  <c r="P141" i="21"/>
  <c r="O141" i="21"/>
  <c r="N141" i="21"/>
  <c r="M141" i="21"/>
  <c r="L141" i="21"/>
  <c r="K141" i="21"/>
  <c r="J141" i="21"/>
  <c r="I141" i="21"/>
  <c r="H141" i="21"/>
  <c r="G141" i="21"/>
  <c r="F141" i="21"/>
  <c r="E141" i="21"/>
  <c r="D141" i="21"/>
  <c r="O140" i="21"/>
  <c r="O149" i="21" s="1"/>
  <c r="N140" i="21"/>
  <c r="N149" i="21" s="1"/>
  <c r="M140" i="21"/>
  <c r="M149" i="21" s="1"/>
  <c r="L140" i="21"/>
  <c r="K140" i="21"/>
  <c r="J140" i="21"/>
  <c r="I140" i="21"/>
  <c r="H140" i="21"/>
  <c r="G140" i="21"/>
  <c r="F140" i="21"/>
  <c r="F149" i="21" s="1"/>
  <c r="E140" i="21"/>
  <c r="E149" i="21" s="1"/>
  <c r="D140" i="21"/>
  <c r="D149" i="21" s="1"/>
  <c r="O139" i="21"/>
  <c r="N139" i="21"/>
  <c r="M139" i="21"/>
  <c r="L139" i="21"/>
  <c r="F139" i="21"/>
  <c r="D139" i="21"/>
  <c r="B139" i="21"/>
  <c r="O138" i="21"/>
  <c r="N138" i="21"/>
  <c r="M138" i="21"/>
  <c r="L138" i="21"/>
  <c r="K138" i="21"/>
  <c r="K139" i="21" s="1"/>
  <c r="J138" i="21"/>
  <c r="J139" i="21" s="1"/>
  <c r="I138" i="21"/>
  <c r="I139" i="21" s="1"/>
  <c r="H138" i="21"/>
  <c r="H139" i="21" s="1"/>
  <c r="G138" i="21"/>
  <c r="G139" i="21" s="1"/>
  <c r="F138" i="21"/>
  <c r="E138" i="21"/>
  <c r="E139" i="21" s="1"/>
  <c r="D138" i="21"/>
  <c r="G137" i="21"/>
  <c r="B137" i="21"/>
  <c r="O136" i="21"/>
  <c r="N136" i="21"/>
  <c r="M136" i="21"/>
  <c r="L136" i="21"/>
  <c r="K136" i="21"/>
  <c r="J136" i="21"/>
  <c r="I136" i="21"/>
  <c r="H136" i="21"/>
  <c r="G136" i="21"/>
  <c r="F136" i="21"/>
  <c r="E136" i="21"/>
  <c r="E137" i="21" s="1"/>
  <c r="D136" i="21"/>
  <c r="P136" i="21" s="1"/>
  <c r="P135" i="21"/>
  <c r="O135" i="21"/>
  <c r="N135" i="21"/>
  <c r="M135" i="21"/>
  <c r="L135" i="21"/>
  <c r="K135" i="21"/>
  <c r="J135" i="21"/>
  <c r="I135" i="21"/>
  <c r="H135" i="21"/>
  <c r="G135" i="21"/>
  <c r="F135" i="21"/>
  <c r="E135" i="21"/>
  <c r="D135" i="21"/>
  <c r="O134" i="21"/>
  <c r="N134" i="21"/>
  <c r="M134" i="21"/>
  <c r="P134" i="21" s="1"/>
  <c r="L134" i="21"/>
  <c r="K134" i="21"/>
  <c r="J134" i="21"/>
  <c r="I134" i="21"/>
  <c r="H134" i="21"/>
  <c r="G134" i="21"/>
  <c r="F134" i="21"/>
  <c r="E134" i="21"/>
  <c r="D134" i="21"/>
  <c r="O133" i="21"/>
  <c r="N133" i="21"/>
  <c r="M133" i="21"/>
  <c r="L133" i="21"/>
  <c r="K133" i="21"/>
  <c r="J133" i="21"/>
  <c r="P133" i="21" s="1"/>
  <c r="I133" i="21"/>
  <c r="H133" i="21"/>
  <c r="G133" i="21"/>
  <c r="F133" i="21"/>
  <c r="E133" i="21"/>
  <c r="D133" i="21"/>
  <c r="O132" i="21"/>
  <c r="N132" i="21"/>
  <c r="N137" i="21" s="1"/>
  <c r="M132" i="21"/>
  <c r="L132" i="21"/>
  <c r="L137" i="21" s="1"/>
  <c r="K132" i="21"/>
  <c r="J132" i="21"/>
  <c r="J137" i="21" s="1"/>
  <c r="I132" i="21"/>
  <c r="I137" i="21" s="1"/>
  <c r="H132" i="21"/>
  <c r="G132" i="21"/>
  <c r="P132" i="21" s="1"/>
  <c r="F132" i="21"/>
  <c r="E132" i="21"/>
  <c r="D132" i="21"/>
  <c r="O131" i="21"/>
  <c r="N131" i="21"/>
  <c r="M131" i="21"/>
  <c r="M137" i="21" s="1"/>
  <c r="L131" i="21"/>
  <c r="K131" i="21"/>
  <c r="K137" i="21" s="1"/>
  <c r="J131" i="21"/>
  <c r="I131" i="21"/>
  <c r="H131" i="21"/>
  <c r="H137" i="21" s="1"/>
  <c r="G131" i="21"/>
  <c r="F131" i="21"/>
  <c r="E131" i="21"/>
  <c r="D131" i="21"/>
  <c r="P131" i="21" s="1"/>
  <c r="O130" i="21"/>
  <c r="O137" i="21" s="1"/>
  <c r="N130" i="21"/>
  <c r="M130" i="21"/>
  <c r="L130" i="21"/>
  <c r="K130" i="21"/>
  <c r="J130" i="21"/>
  <c r="I130" i="21"/>
  <c r="H130" i="21"/>
  <c r="G130" i="21"/>
  <c r="F130" i="21"/>
  <c r="F137" i="21" s="1"/>
  <c r="E130" i="21"/>
  <c r="D130" i="21"/>
  <c r="D137" i="21" s="1"/>
  <c r="B129" i="21"/>
  <c r="O128" i="21"/>
  <c r="O129" i="21" s="1"/>
  <c r="N128" i="21"/>
  <c r="N129" i="21" s="1"/>
  <c r="M128" i="21"/>
  <c r="L128" i="21"/>
  <c r="P128" i="21" s="1"/>
  <c r="K128" i="21"/>
  <c r="J128" i="21"/>
  <c r="I128" i="21"/>
  <c r="H128" i="21"/>
  <c r="G128" i="21"/>
  <c r="F128" i="21"/>
  <c r="E128" i="21"/>
  <c r="D128" i="21"/>
  <c r="O127" i="21"/>
  <c r="N127" i="21"/>
  <c r="M127" i="21"/>
  <c r="L127" i="21"/>
  <c r="K127" i="21"/>
  <c r="J127" i="21"/>
  <c r="I127" i="21"/>
  <c r="P127" i="21" s="1"/>
  <c r="H127" i="21"/>
  <c r="G127" i="21"/>
  <c r="F127" i="21"/>
  <c r="E127" i="21"/>
  <c r="D127" i="21"/>
  <c r="O126" i="21"/>
  <c r="N126" i="21"/>
  <c r="M126" i="21"/>
  <c r="L126" i="21"/>
  <c r="K126" i="21"/>
  <c r="J126" i="21"/>
  <c r="I126" i="21"/>
  <c r="H126" i="21"/>
  <c r="G126" i="21"/>
  <c r="F126" i="21"/>
  <c r="P126" i="21" s="1"/>
  <c r="E126" i="21"/>
  <c r="D126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P125" i="21" s="1"/>
  <c r="P124" i="21"/>
  <c r="O124" i="21"/>
  <c r="N124" i="21"/>
  <c r="M124" i="21"/>
  <c r="M129" i="21" s="1"/>
  <c r="L124" i="21"/>
  <c r="L129" i="21" s="1"/>
  <c r="K124" i="21"/>
  <c r="K129" i="21" s="1"/>
  <c r="J124" i="21"/>
  <c r="J129" i="21" s="1"/>
  <c r="I124" i="21"/>
  <c r="I129" i="21" s="1"/>
  <c r="H124" i="21"/>
  <c r="H129" i="21" s="1"/>
  <c r="G124" i="21"/>
  <c r="G129" i="21" s="1"/>
  <c r="F124" i="21"/>
  <c r="F129" i="21" s="1"/>
  <c r="E124" i="21"/>
  <c r="E129" i="21" s="1"/>
  <c r="D124" i="21"/>
  <c r="D129" i="21" s="1"/>
  <c r="O123" i="21"/>
  <c r="B123" i="21"/>
  <c r="O122" i="21"/>
  <c r="N122" i="21"/>
  <c r="N123" i="21" s="1"/>
  <c r="M122" i="21"/>
  <c r="M123" i="21" s="1"/>
  <c r="L122" i="21"/>
  <c r="K122" i="21"/>
  <c r="P122" i="21" s="1"/>
  <c r="J122" i="21"/>
  <c r="I122" i="21"/>
  <c r="H122" i="21"/>
  <c r="G122" i="21"/>
  <c r="F122" i="21"/>
  <c r="E122" i="21"/>
  <c r="D122" i="21"/>
  <c r="O121" i="21"/>
  <c r="N121" i="21"/>
  <c r="M121" i="21"/>
  <c r="L121" i="21"/>
  <c r="K121" i="21"/>
  <c r="J121" i="21"/>
  <c r="I121" i="21"/>
  <c r="H121" i="21"/>
  <c r="P121" i="21" s="1"/>
  <c r="G121" i="21"/>
  <c r="F121" i="21"/>
  <c r="E121" i="21"/>
  <c r="D121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P120" i="21" s="1"/>
  <c r="O119" i="21"/>
  <c r="N119" i="21"/>
  <c r="M119" i="21"/>
  <c r="L119" i="21"/>
  <c r="K119" i="21"/>
  <c r="J119" i="21"/>
  <c r="I119" i="21"/>
  <c r="H119" i="21"/>
  <c r="G119" i="21"/>
  <c r="F119" i="21"/>
  <c r="E119" i="21"/>
  <c r="D119" i="21"/>
  <c r="P119" i="21" s="1"/>
  <c r="O118" i="21"/>
  <c r="N118" i="21"/>
  <c r="M118" i="21"/>
  <c r="L118" i="21"/>
  <c r="L123" i="21" s="1"/>
  <c r="K118" i="21"/>
  <c r="K123" i="21" s="1"/>
  <c r="J118" i="21"/>
  <c r="J123" i="21" s="1"/>
  <c r="I118" i="21"/>
  <c r="I123" i="21" s="1"/>
  <c r="H118" i="21"/>
  <c r="H123" i="21" s="1"/>
  <c r="G118" i="21"/>
  <c r="G123" i="21" s="1"/>
  <c r="F118" i="21"/>
  <c r="F123" i="21" s="1"/>
  <c r="E118" i="21"/>
  <c r="E123" i="21" s="1"/>
  <c r="D118" i="21"/>
  <c r="D123" i="21" s="1"/>
  <c r="N117" i="21"/>
  <c r="B117" i="21"/>
  <c r="O116" i="21"/>
  <c r="N116" i="21"/>
  <c r="M116" i="21"/>
  <c r="L116" i="21"/>
  <c r="L117" i="21" s="1"/>
  <c r="K116" i="21"/>
  <c r="J116" i="21"/>
  <c r="P116" i="21" s="1"/>
  <c r="I116" i="21"/>
  <c r="H116" i="21"/>
  <c r="G116" i="21"/>
  <c r="F116" i="21"/>
  <c r="E116" i="21"/>
  <c r="D116" i="21"/>
  <c r="O115" i="21"/>
  <c r="N115" i="21"/>
  <c r="M115" i="21"/>
  <c r="L115" i="21"/>
  <c r="K115" i="21"/>
  <c r="J115" i="21"/>
  <c r="I115" i="21"/>
  <c r="H115" i="21"/>
  <c r="G115" i="21"/>
  <c r="P115" i="21" s="1"/>
  <c r="F115" i="21"/>
  <c r="E115" i="21"/>
  <c r="D115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P114" i="21" s="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P113" i="21" s="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E117" i="21" s="1"/>
  <c r="D112" i="21"/>
  <c r="D117" i="21" s="1"/>
  <c r="O111" i="21"/>
  <c r="O117" i="21" s="1"/>
  <c r="N111" i="21"/>
  <c r="M111" i="21"/>
  <c r="L111" i="21"/>
  <c r="K111" i="21"/>
  <c r="P111" i="21" s="1"/>
  <c r="J111" i="21"/>
  <c r="I111" i="21"/>
  <c r="H111" i="21"/>
  <c r="G111" i="21"/>
  <c r="F111" i="21"/>
  <c r="E111" i="21"/>
  <c r="D111" i="21"/>
  <c r="O110" i="21"/>
  <c r="N110" i="21"/>
  <c r="M110" i="21"/>
  <c r="M117" i="21" s="1"/>
  <c r="L110" i="21"/>
  <c r="K110" i="21"/>
  <c r="K117" i="21" s="1"/>
  <c r="J110" i="21"/>
  <c r="J117" i="21" s="1"/>
  <c r="I110" i="21"/>
  <c r="I117" i="21" s="1"/>
  <c r="H110" i="21"/>
  <c r="H117" i="21" s="1"/>
  <c r="G110" i="21"/>
  <c r="G117" i="21" s="1"/>
  <c r="F110" i="21"/>
  <c r="F117" i="21" s="1"/>
  <c r="E110" i="21"/>
  <c r="D110" i="21"/>
  <c r="L109" i="21"/>
  <c r="J109" i="21"/>
  <c r="I109" i="21"/>
  <c r="G109" i="21"/>
  <c r="B109" i="21"/>
  <c r="O108" i="21"/>
  <c r="N108" i="21"/>
  <c r="M108" i="21"/>
  <c r="L108" i="21"/>
  <c r="K108" i="21"/>
  <c r="K109" i="21" s="1"/>
  <c r="J108" i="21"/>
  <c r="I108" i="21"/>
  <c r="H108" i="21"/>
  <c r="G108" i="21"/>
  <c r="F108" i="21"/>
  <c r="F109" i="21" s="1"/>
  <c r="E108" i="21"/>
  <c r="E109" i="21" s="1"/>
  <c r="D108" i="21"/>
  <c r="P108" i="21" s="1"/>
  <c r="P107" i="21"/>
  <c r="O107" i="21"/>
  <c r="N107" i="21"/>
  <c r="M107" i="21"/>
  <c r="L107" i="21"/>
  <c r="K107" i="21"/>
  <c r="J107" i="21"/>
  <c r="I107" i="21"/>
  <c r="H107" i="21"/>
  <c r="H109" i="21" s="1"/>
  <c r="G107" i="21"/>
  <c r="F107" i="21"/>
  <c r="E107" i="21"/>
  <c r="D107" i="21"/>
  <c r="O106" i="21"/>
  <c r="O109" i="21" s="1"/>
  <c r="N106" i="21"/>
  <c r="N109" i="21" s="1"/>
  <c r="M106" i="21"/>
  <c r="M109" i="21" s="1"/>
  <c r="L106" i="21"/>
  <c r="K106" i="21"/>
  <c r="J106" i="21"/>
  <c r="I106" i="21"/>
  <c r="H106" i="21"/>
  <c r="G106" i="21"/>
  <c r="F106" i="21"/>
  <c r="E106" i="21"/>
  <c r="P106" i="21" s="1"/>
  <c r="D106" i="21"/>
  <c r="D109" i="21" s="1"/>
  <c r="N105" i="21"/>
  <c r="L105" i="21"/>
  <c r="B105" i="21"/>
  <c r="O104" i="21"/>
  <c r="N104" i="21"/>
  <c r="M104" i="21"/>
  <c r="L104" i="21"/>
  <c r="K104" i="21"/>
  <c r="K105" i="21" s="1"/>
  <c r="J104" i="21"/>
  <c r="J105" i="21" s="1"/>
  <c r="I104" i="21"/>
  <c r="H104" i="21"/>
  <c r="P104" i="21" s="1"/>
  <c r="G104" i="21"/>
  <c r="F104" i="21"/>
  <c r="E104" i="21"/>
  <c r="D104" i="21"/>
  <c r="O103" i="21"/>
  <c r="N103" i="21"/>
  <c r="M103" i="21"/>
  <c r="M105" i="21" s="1"/>
  <c r="L103" i="21"/>
  <c r="K103" i="21"/>
  <c r="J103" i="21"/>
  <c r="I103" i="21"/>
  <c r="H103" i="21"/>
  <c r="G103" i="21"/>
  <c r="F103" i="21"/>
  <c r="E103" i="21"/>
  <c r="D103" i="21"/>
  <c r="P103" i="21" s="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P102" i="21" s="1"/>
  <c r="O101" i="21"/>
  <c r="O105" i="21" s="1"/>
  <c r="N101" i="21"/>
  <c r="M101" i="21"/>
  <c r="L101" i="21"/>
  <c r="K101" i="21"/>
  <c r="J101" i="21"/>
  <c r="I101" i="21"/>
  <c r="I105" i="21" s="1"/>
  <c r="H101" i="21"/>
  <c r="H105" i="21" s="1"/>
  <c r="G101" i="21"/>
  <c r="G105" i="21" s="1"/>
  <c r="F101" i="21"/>
  <c r="F105" i="21" s="1"/>
  <c r="E101" i="21"/>
  <c r="E105" i="21" s="1"/>
  <c r="D101" i="21"/>
  <c r="D105" i="21" s="1"/>
  <c r="N100" i="21"/>
  <c r="B100" i="21"/>
  <c r="O99" i="21"/>
  <c r="N99" i="21"/>
  <c r="M99" i="21"/>
  <c r="M100" i="21" s="1"/>
  <c r="L99" i="21"/>
  <c r="L100" i="21" s="1"/>
  <c r="K99" i="21"/>
  <c r="J99" i="21"/>
  <c r="P99" i="21" s="1"/>
  <c r="I99" i="21"/>
  <c r="H99" i="21"/>
  <c r="G99" i="21"/>
  <c r="F99" i="21"/>
  <c r="E99" i="21"/>
  <c r="D99" i="21"/>
  <c r="O98" i="21"/>
  <c r="O100" i="21" s="1"/>
  <c r="N98" i="21"/>
  <c r="M98" i="21"/>
  <c r="L98" i="21"/>
  <c r="K98" i="21"/>
  <c r="J98" i="21"/>
  <c r="I98" i="21"/>
  <c r="H98" i="21"/>
  <c r="G98" i="21"/>
  <c r="P98" i="21" s="1"/>
  <c r="F98" i="21"/>
  <c r="E98" i="21"/>
  <c r="D98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P97" i="21" s="1"/>
  <c r="O96" i="21"/>
  <c r="N96" i="21"/>
  <c r="M96" i="21"/>
  <c r="L96" i="21"/>
  <c r="K96" i="21"/>
  <c r="J96" i="21"/>
  <c r="I96" i="21"/>
  <c r="H96" i="21"/>
  <c r="G96" i="21"/>
  <c r="F96" i="21"/>
  <c r="E96" i="21"/>
  <c r="D96" i="21"/>
  <c r="P96" i="21" s="1"/>
  <c r="P95" i="21"/>
  <c r="P100" i="21" s="1"/>
  <c r="O95" i="21"/>
  <c r="N95" i="21"/>
  <c r="M95" i="21"/>
  <c r="L95" i="21"/>
  <c r="K95" i="21"/>
  <c r="K100" i="21" s="1"/>
  <c r="J95" i="21"/>
  <c r="J100" i="21" s="1"/>
  <c r="I95" i="21"/>
  <c r="I100" i="21" s="1"/>
  <c r="H95" i="21"/>
  <c r="H100" i="21" s="1"/>
  <c r="G95" i="21"/>
  <c r="G100" i="21" s="1"/>
  <c r="F95" i="21"/>
  <c r="F100" i="21" s="1"/>
  <c r="E95" i="21"/>
  <c r="E100" i="21" s="1"/>
  <c r="D95" i="21"/>
  <c r="B94" i="21"/>
  <c r="O93" i="21"/>
  <c r="N93" i="21"/>
  <c r="M93" i="21"/>
  <c r="L93" i="21"/>
  <c r="L94" i="21" s="1"/>
  <c r="K93" i="21"/>
  <c r="K94" i="21" s="1"/>
  <c r="J93" i="21"/>
  <c r="I93" i="21"/>
  <c r="P93" i="21" s="1"/>
  <c r="H93" i="21"/>
  <c r="G93" i="21"/>
  <c r="F93" i="21"/>
  <c r="E93" i="21"/>
  <c r="D93" i="21"/>
  <c r="O92" i="21"/>
  <c r="N92" i="21"/>
  <c r="N94" i="21" s="1"/>
  <c r="M92" i="21"/>
  <c r="L92" i="21"/>
  <c r="K92" i="21"/>
  <c r="J92" i="21"/>
  <c r="I92" i="21"/>
  <c r="H92" i="21"/>
  <c r="G92" i="21"/>
  <c r="F92" i="21"/>
  <c r="E92" i="21"/>
  <c r="D92" i="21"/>
  <c r="P92" i="21" s="1"/>
  <c r="O91" i="21"/>
  <c r="N91" i="21"/>
  <c r="M91" i="21"/>
  <c r="L91" i="21"/>
  <c r="K91" i="21"/>
  <c r="J91" i="21"/>
  <c r="I91" i="21"/>
  <c r="H91" i="21"/>
  <c r="G91" i="21"/>
  <c r="F91" i="21"/>
  <c r="E91" i="21"/>
  <c r="D91" i="21"/>
  <c r="P91" i="21" s="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O89" i="21"/>
  <c r="O94" i="21" s="1"/>
  <c r="N89" i="21"/>
  <c r="M89" i="21"/>
  <c r="M94" i="21" s="1"/>
  <c r="L89" i="21"/>
  <c r="K89" i="21"/>
  <c r="J89" i="21"/>
  <c r="J94" i="21" s="1"/>
  <c r="I89" i="21"/>
  <c r="I94" i="21" s="1"/>
  <c r="H89" i="21"/>
  <c r="H94" i="21" s="1"/>
  <c r="G89" i="21"/>
  <c r="G94" i="21" s="1"/>
  <c r="F89" i="21"/>
  <c r="F94" i="21" s="1"/>
  <c r="E89" i="21"/>
  <c r="E94" i="21" s="1"/>
  <c r="D89" i="21"/>
  <c r="D94" i="21" s="1"/>
  <c r="O88" i="21"/>
  <c r="O161" i="21" s="1"/>
  <c r="N88" i="21"/>
  <c r="M88" i="21"/>
  <c r="L88" i="21"/>
  <c r="B88" i="21"/>
  <c r="O87" i="21"/>
  <c r="N87" i="21"/>
  <c r="M87" i="21"/>
  <c r="L87" i="21"/>
  <c r="K87" i="21"/>
  <c r="K88" i="21" s="1"/>
  <c r="J87" i="21"/>
  <c r="J88" i="21" s="1"/>
  <c r="I87" i="21"/>
  <c r="I88" i="21" s="1"/>
  <c r="H87" i="21"/>
  <c r="H88" i="21" s="1"/>
  <c r="G87" i="21"/>
  <c r="G88" i="21" s="1"/>
  <c r="F87" i="21"/>
  <c r="F88" i="21" s="1"/>
  <c r="E87" i="21"/>
  <c r="E88" i="21" s="1"/>
  <c r="D87" i="21"/>
  <c r="D88" i="21" s="1"/>
  <c r="M85" i="21"/>
  <c r="L85" i="21"/>
  <c r="K85" i="21"/>
  <c r="J85" i="21"/>
  <c r="I85" i="21"/>
  <c r="G85" i="21"/>
  <c r="F85" i="21"/>
  <c r="E85" i="21"/>
  <c r="D85" i="21"/>
  <c r="B85" i="21"/>
  <c r="P84" i="21"/>
  <c r="P85" i="21" s="1"/>
  <c r="O84" i="21"/>
  <c r="O85" i="21" s="1"/>
  <c r="N84" i="21"/>
  <c r="N85" i="21" s="1"/>
  <c r="M84" i="21"/>
  <c r="L84" i="21"/>
  <c r="K84" i="21"/>
  <c r="J84" i="21"/>
  <c r="I84" i="21"/>
  <c r="H84" i="21"/>
  <c r="H85" i="21" s="1"/>
  <c r="G84" i="21"/>
  <c r="F84" i="21"/>
  <c r="E84" i="21"/>
  <c r="D84" i="21"/>
  <c r="M83" i="21"/>
  <c r="B83" i="21"/>
  <c r="O82" i="21"/>
  <c r="N82" i="21"/>
  <c r="M82" i="21"/>
  <c r="L82" i="21"/>
  <c r="K82" i="21"/>
  <c r="P82" i="21" s="1"/>
  <c r="J82" i="21"/>
  <c r="I82" i="21"/>
  <c r="H82" i="21"/>
  <c r="G82" i="21"/>
  <c r="F82" i="21"/>
  <c r="E82" i="21"/>
  <c r="D82" i="21"/>
  <c r="O81" i="21"/>
  <c r="N81" i="21"/>
  <c r="M81" i="21"/>
  <c r="L81" i="21"/>
  <c r="K81" i="21"/>
  <c r="J81" i="21"/>
  <c r="I81" i="21"/>
  <c r="H81" i="21"/>
  <c r="P81" i="21" s="1"/>
  <c r="G81" i="21"/>
  <c r="F81" i="21"/>
  <c r="E81" i="21"/>
  <c r="D81" i="21"/>
  <c r="O80" i="21"/>
  <c r="N80" i="21"/>
  <c r="M80" i="21"/>
  <c r="L80" i="21"/>
  <c r="K80" i="21"/>
  <c r="J80" i="21"/>
  <c r="I80" i="21"/>
  <c r="H80" i="21"/>
  <c r="G80" i="21"/>
  <c r="F80" i="21"/>
  <c r="E80" i="21"/>
  <c r="E83" i="21" s="1"/>
  <c r="D80" i="21"/>
  <c r="P80" i="21" s="1"/>
  <c r="O79" i="21"/>
  <c r="N79" i="21"/>
  <c r="M79" i="21"/>
  <c r="L79" i="21"/>
  <c r="K79" i="21"/>
  <c r="J79" i="21"/>
  <c r="I79" i="21"/>
  <c r="H79" i="21"/>
  <c r="G79" i="21"/>
  <c r="F79" i="21"/>
  <c r="E79" i="21"/>
  <c r="D79" i="21"/>
  <c r="P79" i="21" s="1"/>
  <c r="O78" i="21"/>
  <c r="O83" i="21" s="1"/>
  <c r="N78" i="21"/>
  <c r="M78" i="21"/>
  <c r="L78" i="21"/>
  <c r="K78" i="21"/>
  <c r="J78" i="21"/>
  <c r="I78" i="21"/>
  <c r="H78" i="21"/>
  <c r="G78" i="21"/>
  <c r="F78" i="21"/>
  <c r="E78" i="21"/>
  <c r="D78" i="21"/>
  <c r="P78" i="21" s="1"/>
  <c r="O77" i="21"/>
  <c r="N77" i="21"/>
  <c r="M77" i="21"/>
  <c r="L77" i="21"/>
  <c r="K77" i="21"/>
  <c r="J77" i="21"/>
  <c r="I77" i="21"/>
  <c r="H77" i="21"/>
  <c r="G77" i="21"/>
  <c r="F77" i="21"/>
  <c r="E77" i="21"/>
  <c r="D77" i="21"/>
  <c r="D83" i="21" s="1"/>
  <c r="O76" i="21"/>
  <c r="N76" i="21"/>
  <c r="M76" i="21"/>
  <c r="L76" i="21"/>
  <c r="K76" i="21"/>
  <c r="J76" i="21"/>
  <c r="I76" i="21"/>
  <c r="P76" i="21" s="1"/>
  <c r="H76" i="21"/>
  <c r="G76" i="21"/>
  <c r="F76" i="21"/>
  <c r="E76" i="21"/>
  <c r="D76" i="21"/>
  <c r="O75" i="21"/>
  <c r="N75" i="21"/>
  <c r="N83" i="21" s="1"/>
  <c r="M75" i="21"/>
  <c r="L75" i="21"/>
  <c r="L83" i="21" s="1"/>
  <c r="K75" i="21"/>
  <c r="K83" i="21" s="1"/>
  <c r="J75" i="21"/>
  <c r="J83" i="21" s="1"/>
  <c r="I75" i="21"/>
  <c r="I83" i="21" s="1"/>
  <c r="H75" i="21"/>
  <c r="H83" i="21" s="1"/>
  <c r="G75" i="21"/>
  <c r="G83" i="21" s="1"/>
  <c r="F75" i="21"/>
  <c r="F83" i="21" s="1"/>
  <c r="E75" i="21"/>
  <c r="P75" i="21" s="1"/>
  <c r="D75" i="21"/>
  <c r="J74" i="21"/>
  <c r="H74" i="21"/>
  <c r="G74" i="21"/>
  <c r="E74" i="21"/>
  <c r="B74" i="21"/>
  <c r="O73" i="21"/>
  <c r="N73" i="21"/>
  <c r="M73" i="21"/>
  <c r="L73" i="21"/>
  <c r="K73" i="21"/>
  <c r="J73" i="21"/>
  <c r="I73" i="21"/>
  <c r="I74" i="21" s="1"/>
  <c r="H73" i="21"/>
  <c r="G73" i="21"/>
  <c r="F73" i="21"/>
  <c r="E73" i="21"/>
  <c r="D73" i="21"/>
  <c r="P73" i="21" s="1"/>
  <c r="O72" i="21"/>
  <c r="N72" i="21"/>
  <c r="P72" i="21" s="1"/>
  <c r="M72" i="21"/>
  <c r="L72" i="21"/>
  <c r="K72" i="21"/>
  <c r="J72" i="21"/>
  <c r="I72" i="21"/>
  <c r="H72" i="21"/>
  <c r="G72" i="21"/>
  <c r="F72" i="21"/>
  <c r="F74" i="21" s="1"/>
  <c r="E72" i="21"/>
  <c r="D72" i="21"/>
  <c r="O71" i="21"/>
  <c r="O74" i="21" s="1"/>
  <c r="N71" i="21"/>
  <c r="N74" i="21" s="1"/>
  <c r="M71" i="21"/>
  <c r="M74" i="21" s="1"/>
  <c r="L71" i="21"/>
  <c r="L74" i="21" s="1"/>
  <c r="K71" i="21"/>
  <c r="K74" i="21" s="1"/>
  <c r="J71" i="21"/>
  <c r="I71" i="21"/>
  <c r="H71" i="21"/>
  <c r="G71" i="21"/>
  <c r="F71" i="21"/>
  <c r="E71" i="21"/>
  <c r="D71" i="21"/>
  <c r="O70" i="21"/>
  <c r="M70" i="21"/>
  <c r="L70" i="21"/>
  <c r="J70" i="21"/>
  <c r="H70" i="21"/>
  <c r="B70" i="21"/>
  <c r="O69" i="21"/>
  <c r="N69" i="21"/>
  <c r="N70" i="21" s="1"/>
  <c r="M69" i="21"/>
  <c r="L69" i="21"/>
  <c r="K69" i="21"/>
  <c r="J69" i="21"/>
  <c r="I69" i="21"/>
  <c r="I70" i="21" s="1"/>
  <c r="H69" i="21"/>
  <c r="G69" i="21"/>
  <c r="F69" i="21"/>
  <c r="E69" i="21"/>
  <c r="P69" i="21" s="1"/>
  <c r="D69" i="21"/>
  <c r="O68" i="21"/>
  <c r="N68" i="21"/>
  <c r="M68" i="21"/>
  <c r="L68" i="21"/>
  <c r="K68" i="21"/>
  <c r="K70" i="21" s="1"/>
  <c r="J68" i="21"/>
  <c r="I68" i="21"/>
  <c r="H68" i="21"/>
  <c r="G68" i="21"/>
  <c r="G70" i="21" s="1"/>
  <c r="F68" i="21"/>
  <c r="F70" i="21" s="1"/>
  <c r="E68" i="21"/>
  <c r="E70" i="21" s="1"/>
  <c r="D68" i="21"/>
  <c r="P68" i="21" s="1"/>
  <c r="P70" i="21" s="1"/>
  <c r="G67" i="21"/>
  <c r="E67" i="21"/>
  <c r="D67" i="21"/>
  <c r="B67" i="21"/>
  <c r="O66" i="21"/>
  <c r="N66" i="21"/>
  <c r="P66" i="21" s="1"/>
  <c r="M66" i="21"/>
  <c r="L66" i="21"/>
  <c r="K66" i="21"/>
  <c r="J66" i="21"/>
  <c r="I66" i="21"/>
  <c r="H66" i="21"/>
  <c r="G66" i="21"/>
  <c r="F66" i="21"/>
  <c r="F67" i="21" s="1"/>
  <c r="E66" i="21"/>
  <c r="D66" i="21"/>
  <c r="O65" i="21"/>
  <c r="N65" i="21"/>
  <c r="M65" i="21"/>
  <c r="L65" i="21"/>
  <c r="K65" i="21"/>
  <c r="P65" i="21" s="1"/>
  <c r="J65" i="21"/>
  <c r="I65" i="21"/>
  <c r="H65" i="21"/>
  <c r="G65" i="21"/>
  <c r="F65" i="21"/>
  <c r="E65" i="21"/>
  <c r="D65" i="21"/>
  <c r="O64" i="21"/>
  <c r="O67" i="21" s="1"/>
  <c r="N64" i="21"/>
  <c r="N67" i="21" s="1"/>
  <c r="M64" i="21"/>
  <c r="M67" i="21" s="1"/>
  <c r="L64" i="21"/>
  <c r="L67" i="21" s="1"/>
  <c r="K64" i="21"/>
  <c r="K67" i="21" s="1"/>
  <c r="J64" i="21"/>
  <c r="J67" i="21" s="1"/>
  <c r="I64" i="21"/>
  <c r="I67" i="21" s="1"/>
  <c r="H64" i="21"/>
  <c r="P64" i="21" s="1"/>
  <c r="G64" i="21"/>
  <c r="F64" i="21"/>
  <c r="E64" i="21"/>
  <c r="D64" i="21"/>
  <c r="E63" i="21"/>
  <c r="B63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P62" i="21" s="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O60" i="21"/>
  <c r="N60" i="21"/>
  <c r="M60" i="21"/>
  <c r="M63" i="21" s="1"/>
  <c r="L60" i="21"/>
  <c r="K60" i="21"/>
  <c r="J60" i="21"/>
  <c r="I60" i="21"/>
  <c r="H60" i="21"/>
  <c r="G60" i="21"/>
  <c r="F60" i="21"/>
  <c r="E60" i="21"/>
  <c r="P60" i="21" s="1"/>
  <c r="D60" i="21"/>
  <c r="O59" i="21"/>
  <c r="N59" i="21"/>
  <c r="M59" i="21"/>
  <c r="L59" i="21"/>
  <c r="K59" i="21"/>
  <c r="J59" i="21"/>
  <c r="P59" i="21" s="1"/>
  <c r="I59" i="21"/>
  <c r="H59" i="21"/>
  <c r="G59" i="21"/>
  <c r="F59" i="21"/>
  <c r="E59" i="21"/>
  <c r="D59" i="21"/>
  <c r="O58" i="21"/>
  <c r="O63" i="21" s="1"/>
  <c r="N58" i="21"/>
  <c r="M58" i="21"/>
  <c r="L58" i="21"/>
  <c r="K58" i="21"/>
  <c r="J58" i="21"/>
  <c r="J63" i="21" s="1"/>
  <c r="I58" i="21"/>
  <c r="I63" i="21" s="1"/>
  <c r="H58" i="21"/>
  <c r="G58" i="21"/>
  <c r="P58" i="21" s="1"/>
  <c r="F58" i="21"/>
  <c r="E58" i="21"/>
  <c r="D58" i="21"/>
  <c r="O57" i="21"/>
  <c r="N57" i="21"/>
  <c r="N63" i="21" s="1"/>
  <c r="M57" i="21"/>
  <c r="L57" i="21"/>
  <c r="L63" i="21" s="1"/>
  <c r="K57" i="21"/>
  <c r="K63" i="21" s="1"/>
  <c r="J57" i="21"/>
  <c r="I57" i="21"/>
  <c r="H57" i="21"/>
  <c r="H63" i="21" s="1"/>
  <c r="G57" i="21"/>
  <c r="F57" i="21"/>
  <c r="F63" i="21" s="1"/>
  <c r="E57" i="21"/>
  <c r="D57" i="21"/>
  <c r="D63" i="21" s="1"/>
  <c r="B56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P55" i="21" s="1"/>
  <c r="O54" i="21"/>
  <c r="N54" i="21"/>
  <c r="M54" i="21"/>
  <c r="L54" i="21"/>
  <c r="K54" i="21"/>
  <c r="J54" i="21"/>
  <c r="I54" i="21"/>
  <c r="H54" i="21"/>
  <c r="G54" i="21"/>
  <c r="F54" i="21"/>
  <c r="E54" i="21"/>
  <c r="D54" i="21"/>
  <c r="P54" i="21" s="1"/>
  <c r="O53" i="21"/>
  <c r="N53" i="21"/>
  <c r="M53" i="21"/>
  <c r="L53" i="21"/>
  <c r="K53" i="21"/>
  <c r="J53" i="21"/>
  <c r="I53" i="21"/>
  <c r="P53" i="21" s="1"/>
  <c r="H53" i="21"/>
  <c r="G53" i="21"/>
  <c r="F53" i="21"/>
  <c r="E53" i="21"/>
  <c r="D53" i="21"/>
  <c r="O52" i="21"/>
  <c r="N52" i="21"/>
  <c r="M52" i="21"/>
  <c r="L52" i="21"/>
  <c r="K52" i="21"/>
  <c r="J52" i="21"/>
  <c r="I52" i="21"/>
  <c r="H52" i="21"/>
  <c r="G52" i="21"/>
  <c r="F52" i="21"/>
  <c r="E52" i="21"/>
  <c r="P52" i="21" s="1"/>
  <c r="D52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P51" i="21" s="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O49" i="21"/>
  <c r="N49" i="21"/>
  <c r="M49" i="21"/>
  <c r="L49" i="21"/>
  <c r="K49" i="21"/>
  <c r="J49" i="21"/>
  <c r="I49" i="21"/>
  <c r="H49" i="21"/>
  <c r="G49" i="21"/>
  <c r="F49" i="21"/>
  <c r="E49" i="21"/>
  <c r="E56" i="21" s="1"/>
  <c r="D49" i="21"/>
  <c r="O48" i="21"/>
  <c r="N48" i="21"/>
  <c r="M48" i="21"/>
  <c r="L48" i="21"/>
  <c r="K48" i="21"/>
  <c r="J48" i="21"/>
  <c r="P48" i="21" s="1"/>
  <c r="I48" i="21"/>
  <c r="H48" i="21"/>
  <c r="G48" i="21"/>
  <c r="F48" i="21"/>
  <c r="E48" i="21"/>
  <c r="D48" i="21"/>
  <c r="O47" i="21"/>
  <c r="N47" i="21"/>
  <c r="M47" i="21"/>
  <c r="L47" i="21"/>
  <c r="K47" i="21"/>
  <c r="J47" i="21"/>
  <c r="I47" i="21"/>
  <c r="I56" i="21" s="1"/>
  <c r="H47" i="21"/>
  <c r="G47" i="21"/>
  <c r="F47" i="21"/>
  <c r="P47" i="21" s="1"/>
  <c r="E47" i="21"/>
  <c r="D47" i="21"/>
  <c r="O46" i="21"/>
  <c r="O56" i="21" s="1"/>
  <c r="O86" i="21" s="1"/>
  <c r="N46" i="21"/>
  <c r="N56" i="21" s="1"/>
  <c r="N86" i="21" s="1"/>
  <c r="M46" i="21"/>
  <c r="M56" i="21" s="1"/>
  <c r="L46" i="21"/>
  <c r="L56" i="21" s="1"/>
  <c r="L86" i="21" s="1"/>
  <c r="K46" i="21"/>
  <c r="K56" i="21" s="1"/>
  <c r="K86" i="21" s="1"/>
  <c r="J46" i="21"/>
  <c r="J56" i="21" s="1"/>
  <c r="I46" i="21"/>
  <c r="H46" i="21"/>
  <c r="H56" i="21" s="1"/>
  <c r="G46" i="21"/>
  <c r="G56" i="21" s="1"/>
  <c r="F46" i="21"/>
  <c r="F56" i="21" s="1"/>
  <c r="E46" i="21"/>
  <c r="D46" i="21"/>
  <c r="P46" i="21" s="1"/>
  <c r="E45" i="21"/>
  <c r="N44" i="21"/>
  <c r="N45" i="21" s="1"/>
  <c r="E44" i="21"/>
  <c r="B44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D44" i="21" s="1"/>
  <c r="D45" i="21" s="1"/>
  <c r="O42" i="21"/>
  <c r="O44" i="21" s="1"/>
  <c r="O45" i="21" s="1"/>
  <c r="N42" i="21"/>
  <c r="M42" i="21"/>
  <c r="L42" i="21"/>
  <c r="K42" i="21"/>
  <c r="J42" i="21"/>
  <c r="I42" i="21"/>
  <c r="P42" i="21" s="1"/>
  <c r="H42" i="21"/>
  <c r="G42" i="21"/>
  <c r="F42" i="21"/>
  <c r="E42" i="21"/>
  <c r="D42" i="21"/>
  <c r="O41" i="21"/>
  <c r="N41" i="21"/>
  <c r="M41" i="21"/>
  <c r="M44" i="21" s="1"/>
  <c r="M45" i="21" s="1"/>
  <c r="L41" i="21"/>
  <c r="L44" i="21" s="1"/>
  <c r="L45" i="21" s="1"/>
  <c r="K41" i="21"/>
  <c r="K44" i="21" s="1"/>
  <c r="K45" i="21" s="1"/>
  <c r="J41" i="21"/>
  <c r="J44" i="21" s="1"/>
  <c r="J45" i="21" s="1"/>
  <c r="I41" i="21"/>
  <c r="I44" i="21" s="1"/>
  <c r="I45" i="21" s="1"/>
  <c r="H41" i="21"/>
  <c r="H44" i="21" s="1"/>
  <c r="H45" i="21" s="1"/>
  <c r="G41" i="21"/>
  <c r="G44" i="21" s="1"/>
  <c r="G45" i="21" s="1"/>
  <c r="F41" i="21"/>
  <c r="F44" i="21" s="1"/>
  <c r="F45" i="21" s="1"/>
  <c r="E41" i="21"/>
  <c r="D41" i="21"/>
  <c r="P41" i="21" s="1"/>
  <c r="O37" i="21"/>
  <c r="D37" i="21"/>
  <c r="B37" i="21"/>
  <c r="O36" i="21"/>
  <c r="N36" i="21"/>
  <c r="M36" i="21"/>
  <c r="M37" i="21" s="1"/>
  <c r="L36" i="21"/>
  <c r="K36" i="21"/>
  <c r="P36" i="21" s="1"/>
  <c r="J36" i="21"/>
  <c r="I36" i="21"/>
  <c r="H36" i="21"/>
  <c r="G36" i="21"/>
  <c r="F36" i="21"/>
  <c r="E36" i="21"/>
  <c r="D36" i="21"/>
  <c r="O35" i="21"/>
  <c r="N35" i="21"/>
  <c r="N37" i="21" s="1"/>
  <c r="M35" i="21"/>
  <c r="L35" i="21"/>
  <c r="K35" i="21"/>
  <c r="J35" i="21"/>
  <c r="I35" i="21"/>
  <c r="H35" i="21"/>
  <c r="P35" i="21" s="1"/>
  <c r="G35" i="21"/>
  <c r="F35" i="21"/>
  <c r="E35" i="21"/>
  <c r="D35" i="21"/>
  <c r="O34" i="21"/>
  <c r="N34" i="21"/>
  <c r="M34" i="21"/>
  <c r="L34" i="21"/>
  <c r="L37" i="21" s="1"/>
  <c r="K34" i="21"/>
  <c r="K37" i="21" s="1"/>
  <c r="J34" i="21"/>
  <c r="J37" i="21" s="1"/>
  <c r="I34" i="21"/>
  <c r="I37" i="21" s="1"/>
  <c r="H34" i="21"/>
  <c r="H37" i="21" s="1"/>
  <c r="G34" i="21"/>
  <c r="G37" i="21" s="1"/>
  <c r="F34" i="21"/>
  <c r="F37" i="21" s="1"/>
  <c r="E34" i="21"/>
  <c r="E37" i="21" s="1"/>
  <c r="D34" i="21"/>
  <c r="P34" i="21" s="1"/>
  <c r="F33" i="21"/>
  <c r="D33" i="21"/>
  <c r="B33" i="21"/>
  <c r="P32" i="21"/>
  <c r="O32" i="21"/>
  <c r="N32" i="21"/>
  <c r="M32" i="21"/>
  <c r="L32" i="21"/>
  <c r="K32" i="21"/>
  <c r="J32" i="21"/>
  <c r="I32" i="21"/>
  <c r="H32" i="21"/>
  <c r="H33" i="21" s="1"/>
  <c r="H38" i="21" s="1"/>
  <c r="G32" i="21"/>
  <c r="F32" i="21"/>
  <c r="E32" i="21"/>
  <c r="D32" i="21"/>
  <c r="O31" i="21"/>
  <c r="N31" i="21"/>
  <c r="M31" i="21"/>
  <c r="L31" i="21"/>
  <c r="K31" i="21"/>
  <c r="J31" i="21"/>
  <c r="I31" i="21"/>
  <c r="H31" i="21"/>
  <c r="G31" i="21"/>
  <c r="F31" i="21"/>
  <c r="E31" i="21"/>
  <c r="E33" i="21" s="1"/>
  <c r="D31" i="21"/>
  <c r="O30" i="21"/>
  <c r="N30" i="21"/>
  <c r="M30" i="21"/>
  <c r="L30" i="21"/>
  <c r="K30" i="21"/>
  <c r="J30" i="21"/>
  <c r="J33" i="21" s="1"/>
  <c r="I30" i="21"/>
  <c r="H30" i="21"/>
  <c r="G30" i="21"/>
  <c r="F30" i="21"/>
  <c r="E30" i="21"/>
  <c r="D30" i="21"/>
  <c r="O29" i="21"/>
  <c r="O33" i="21" s="1"/>
  <c r="N29" i="21"/>
  <c r="N33" i="21" s="1"/>
  <c r="M29" i="21"/>
  <c r="M33" i="21" s="1"/>
  <c r="L29" i="21"/>
  <c r="L33" i="21" s="1"/>
  <c r="K29" i="21"/>
  <c r="K33" i="21" s="1"/>
  <c r="J29" i="21"/>
  <c r="I29" i="21"/>
  <c r="I33" i="21" s="1"/>
  <c r="H29" i="21"/>
  <c r="G29" i="21"/>
  <c r="G33" i="21" s="1"/>
  <c r="F29" i="21"/>
  <c r="E29" i="21"/>
  <c r="D29" i="21"/>
  <c r="P29" i="21" s="1"/>
  <c r="H28" i="21"/>
  <c r="F28" i="21"/>
  <c r="F38" i="21" s="1"/>
  <c r="D28" i="21"/>
  <c r="B28" i="21"/>
  <c r="O27" i="21"/>
  <c r="N27" i="21"/>
  <c r="M27" i="21"/>
  <c r="L27" i="21"/>
  <c r="K27" i="21"/>
  <c r="J27" i="21"/>
  <c r="J28" i="21" s="1"/>
  <c r="I27" i="21"/>
  <c r="H27" i="21"/>
  <c r="G27" i="21"/>
  <c r="F27" i="21"/>
  <c r="E27" i="21"/>
  <c r="D27" i="21"/>
  <c r="P27" i="21" s="1"/>
  <c r="O26" i="21"/>
  <c r="N26" i="21"/>
  <c r="M26" i="21"/>
  <c r="L26" i="21"/>
  <c r="K26" i="21"/>
  <c r="J26" i="21"/>
  <c r="I26" i="21"/>
  <c r="H26" i="21"/>
  <c r="G26" i="21"/>
  <c r="G28" i="21" s="1"/>
  <c r="F26" i="21"/>
  <c r="E26" i="21"/>
  <c r="E28" i="21" s="1"/>
  <c r="E38" i="21" s="1"/>
  <c r="D26" i="21"/>
  <c r="P26" i="21" s="1"/>
  <c r="O25" i="21"/>
  <c r="N25" i="21"/>
  <c r="M25" i="21"/>
  <c r="L25" i="21"/>
  <c r="L28" i="21" s="1"/>
  <c r="L38" i="21" s="1"/>
  <c r="K25" i="21"/>
  <c r="J25" i="21"/>
  <c r="I25" i="21"/>
  <c r="H25" i="21"/>
  <c r="G25" i="21"/>
  <c r="F25" i="21"/>
  <c r="E25" i="21"/>
  <c r="D25" i="21"/>
  <c r="P25" i="21" s="1"/>
  <c r="O24" i="21"/>
  <c r="O28" i="21" s="1"/>
  <c r="N24" i="21"/>
  <c r="N28" i="21" s="1"/>
  <c r="M24" i="21"/>
  <c r="M28" i="21" s="1"/>
  <c r="M38" i="21" s="1"/>
  <c r="L24" i="21"/>
  <c r="K24" i="21"/>
  <c r="K28" i="21" s="1"/>
  <c r="J24" i="21"/>
  <c r="I24" i="21"/>
  <c r="P24" i="21" s="1"/>
  <c r="H24" i="21"/>
  <c r="G24" i="21"/>
  <c r="F24" i="21"/>
  <c r="E24" i="21"/>
  <c r="D24" i="21"/>
  <c r="J23" i="21"/>
  <c r="H23" i="21"/>
  <c r="K22" i="21"/>
  <c r="K23" i="21" s="1"/>
  <c r="J22" i="21"/>
  <c r="H22" i="21"/>
  <c r="G22" i="21"/>
  <c r="G23" i="21" s="1"/>
  <c r="E22" i="21"/>
  <c r="E23" i="21" s="1"/>
  <c r="B22" i="21"/>
  <c r="O21" i="21"/>
  <c r="N21" i="21"/>
  <c r="M21" i="21"/>
  <c r="L21" i="21"/>
  <c r="K21" i="21"/>
  <c r="J21" i="21"/>
  <c r="I21" i="21"/>
  <c r="I22" i="21" s="1"/>
  <c r="I23" i="21" s="1"/>
  <c r="H21" i="21"/>
  <c r="G21" i="21"/>
  <c r="F21" i="21"/>
  <c r="E21" i="21"/>
  <c r="D21" i="21"/>
  <c r="P21" i="21" s="1"/>
  <c r="O20" i="21"/>
  <c r="O22" i="21" s="1"/>
  <c r="O23" i="21" s="1"/>
  <c r="N20" i="21"/>
  <c r="N22" i="21" s="1"/>
  <c r="N23" i="21" s="1"/>
  <c r="M20" i="21"/>
  <c r="M22" i="21" s="1"/>
  <c r="M23" i="21" s="1"/>
  <c r="L20" i="21"/>
  <c r="L22" i="21" s="1"/>
  <c r="L23" i="21" s="1"/>
  <c r="K20" i="21"/>
  <c r="J20" i="21"/>
  <c r="I20" i="21"/>
  <c r="H20" i="21"/>
  <c r="G20" i="21"/>
  <c r="F20" i="21"/>
  <c r="F22" i="21" s="1"/>
  <c r="F23" i="21" s="1"/>
  <c r="E20" i="21"/>
  <c r="D20" i="21"/>
  <c r="D22" i="21" s="1"/>
  <c r="H18" i="21"/>
  <c r="B18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P17" i="21" s="1"/>
  <c r="O16" i="21"/>
  <c r="N16" i="21"/>
  <c r="M16" i="21"/>
  <c r="L16" i="21"/>
  <c r="K16" i="21"/>
  <c r="J16" i="21"/>
  <c r="I16" i="21"/>
  <c r="H16" i="21"/>
  <c r="G16" i="21"/>
  <c r="F16" i="21"/>
  <c r="E16" i="21"/>
  <c r="D16" i="21"/>
  <c r="P16" i="21" s="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O14" i="21"/>
  <c r="N14" i="21"/>
  <c r="M14" i="21"/>
  <c r="L14" i="21"/>
  <c r="K14" i="21"/>
  <c r="J14" i="21"/>
  <c r="I14" i="21"/>
  <c r="H14" i="21"/>
  <c r="G14" i="21"/>
  <c r="F14" i="21"/>
  <c r="E14" i="21"/>
  <c r="P14" i="21" s="1"/>
  <c r="D14" i="21"/>
  <c r="O13" i="21"/>
  <c r="N13" i="21"/>
  <c r="M13" i="21"/>
  <c r="M18" i="21" s="1"/>
  <c r="L13" i="21"/>
  <c r="L18" i="21" s="1"/>
  <c r="K13" i="21"/>
  <c r="J13" i="21"/>
  <c r="J18" i="21" s="1"/>
  <c r="I13" i="21"/>
  <c r="H13" i="21"/>
  <c r="G13" i="21"/>
  <c r="F13" i="21"/>
  <c r="E13" i="21"/>
  <c r="D13" i="21"/>
  <c r="O12" i="21"/>
  <c r="O18" i="21" s="1"/>
  <c r="N12" i="21"/>
  <c r="N18" i="21" s="1"/>
  <c r="M12" i="21"/>
  <c r="L12" i="21"/>
  <c r="K12" i="21"/>
  <c r="K18" i="21" s="1"/>
  <c r="J12" i="21"/>
  <c r="I12" i="21"/>
  <c r="I18" i="21" s="1"/>
  <c r="H12" i="21"/>
  <c r="G12" i="21"/>
  <c r="G18" i="21" s="1"/>
  <c r="F12" i="21"/>
  <c r="F18" i="21" s="1"/>
  <c r="E12" i="21"/>
  <c r="E18" i="21" s="1"/>
  <c r="D12" i="21"/>
  <c r="D18" i="21" s="1"/>
  <c r="L11" i="21"/>
  <c r="K11" i="21"/>
  <c r="I11" i="21"/>
  <c r="H11" i="21"/>
  <c r="G11" i="21"/>
  <c r="F11" i="21"/>
  <c r="D11" i="21"/>
  <c r="P11" i="21" s="1"/>
  <c r="B11" i="21"/>
  <c r="O10" i="21"/>
  <c r="O11" i="21" s="1"/>
  <c r="N10" i="21"/>
  <c r="N11" i="21" s="1"/>
  <c r="M10" i="21"/>
  <c r="M11" i="21" s="1"/>
  <c r="L10" i="21"/>
  <c r="K10" i="21"/>
  <c r="J10" i="21"/>
  <c r="J11" i="21" s="1"/>
  <c r="I10" i="21"/>
  <c r="H10" i="21"/>
  <c r="G10" i="21"/>
  <c r="F10" i="21"/>
  <c r="E10" i="21"/>
  <c r="E11" i="21" s="1"/>
  <c r="D10" i="21"/>
  <c r="P10" i="21" s="1"/>
  <c r="O9" i="21"/>
  <c r="O19" i="21" s="1"/>
  <c r="G9" i="21"/>
  <c r="G19" i="21" s="1"/>
  <c r="F9" i="21"/>
  <c r="F19" i="21" s="1"/>
  <c r="F39" i="21" s="1"/>
  <c r="D9" i="21"/>
  <c r="B9" i="21"/>
  <c r="O8" i="21"/>
  <c r="N8" i="21"/>
  <c r="M8" i="21"/>
  <c r="L8" i="21"/>
  <c r="K8" i="21"/>
  <c r="J8" i="21"/>
  <c r="I8" i="21"/>
  <c r="H8" i="21"/>
  <c r="G8" i="21"/>
  <c r="F8" i="21"/>
  <c r="E8" i="21"/>
  <c r="E9" i="21" s="1"/>
  <c r="D8" i="21"/>
  <c r="O7" i="21"/>
  <c r="N7" i="21"/>
  <c r="N9" i="21" s="1"/>
  <c r="N19" i="21" s="1"/>
  <c r="M7" i="21"/>
  <c r="M9" i="21" s="1"/>
  <c r="L7" i="21"/>
  <c r="L9" i="21" s="1"/>
  <c r="K7" i="21"/>
  <c r="K9" i="21" s="1"/>
  <c r="K19" i="21" s="1"/>
  <c r="J7" i="21"/>
  <c r="J9" i="21" s="1"/>
  <c r="J19" i="21" s="1"/>
  <c r="I7" i="21"/>
  <c r="I9" i="21" s="1"/>
  <c r="H7" i="21"/>
  <c r="H9" i="21" s="1"/>
  <c r="H19" i="21" s="1"/>
  <c r="H39" i="21" s="1"/>
  <c r="G7" i="21"/>
  <c r="F7" i="21"/>
  <c r="E7" i="21"/>
  <c r="D7" i="21"/>
  <c r="O5" i="21"/>
  <c r="N5" i="21"/>
  <c r="M5" i="21"/>
  <c r="L5" i="21"/>
  <c r="K5" i="21"/>
  <c r="J5" i="21"/>
  <c r="I5" i="21"/>
  <c r="H5" i="21"/>
  <c r="G5" i="21"/>
  <c r="F5" i="21"/>
  <c r="E5" i="21"/>
  <c r="D5" i="21"/>
  <c r="B5" i="21"/>
  <c r="N174" i="20"/>
  <c r="N175" i="20" s="1"/>
  <c r="B174" i="20"/>
  <c r="O173" i="20"/>
  <c r="O174" i="20" s="1"/>
  <c r="O175" i="20" s="1"/>
  <c r="N173" i="20"/>
  <c r="M173" i="20"/>
  <c r="L173" i="20"/>
  <c r="P173" i="20" s="1"/>
  <c r="K173" i="20"/>
  <c r="J173" i="20"/>
  <c r="I173" i="20"/>
  <c r="H173" i="20"/>
  <c r="G173" i="20"/>
  <c r="F173" i="20"/>
  <c r="E173" i="20"/>
  <c r="D173" i="20"/>
  <c r="O172" i="20"/>
  <c r="N172" i="20"/>
  <c r="M172" i="20"/>
  <c r="L172" i="20"/>
  <c r="K172" i="20"/>
  <c r="J172" i="20"/>
  <c r="I172" i="20"/>
  <c r="H172" i="20"/>
  <c r="G172" i="20"/>
  <c r="F172" i="20"/>
  <c r="E172" i="20"/>
  <c r="D172" i="20"/>
  <c r="P172" i="20" s="1"/>
  <c r="O171" i="20"/>
  <c r="N171" i="20"/>
  <c r="M171" i="20"/>
  <c r="L171" i="20"/>
  <c r="K171" i="20"/>
  <c r="J171" i="20"/>
  <c r="I171" i="20"/>
  <c r="H171" i="20"/>
  <c r="G171" i="20"/>
  <c r="F171" i="20"/>
  <c r="P171" i="20" s="1"/>
  <c r="E171" i="20"/>
  <c r="D171" i="20"/>
  <c r="O170" i="20"/>
  <c r="N170" i="20"/>
  <c r="M170" i="20"/>
  <c r="M174" i="20" s="1"/>
  <c r="M175" i="20" s="1"/>
  <c r="L170" i="20"/>
  <c r="L174" i="20" s="1"/>
  <c r="L175" i="20" s="1"/>
  <c r="K170" i="20"/>
  <c r="K174" i="20" s="1"/>
  <c r="K175" i="20" s="1"/>
  <c r="J170" i="20"/>
  <c r="J174" i="20" s="1"/>
  <c r="J175" i="20" s="1"/>
  <c r="I170" i="20"/>
  <c r="I174" i="20" s="1"/>
  <c r="I175" i="20" s="1"/>
  <c r="H170" i="20"/>
  <c r="H174" i="20" s="1"/>
  <c r="H175" i="20" s="1"/>
  <c r="G170" i="20"/>
  <c r="G174" i="20" s="1"/>
  <c r="G175" i="20" s="1"/>
  <c r="F170" i="20"/>
  <c r="F174" i="20" s="1"/>
  <c r="F175" i="20" s="1"/>
  <c r="E170" i="20"/>
  <c r="E174" i="20" s="1"/>
  <c r="E175" i="20" s="1"/>
  <c r="D170" i="20"/>
  <c r="P170" i="20" s="1"/>
  <c r="J165" i="20"/>
  <c r="K164" i="20"/>
  <c r="K165" i="20" s="1"/>
  <c r="J164" i="20"/>
  <c r="G164" i="20"/>
  <c r="G165" i="20" s="1"/>
  <c r="B164" i="20"/>
  <c r="O163" i="20"/>
  <c r="N163" i="20"/>
  <c r="M163" i="20"/>
  <c r="L163" i="20"/>
  <c r="K163" i="20"/>
  <c r="J163" i="20"/>
  <c r="I163" i="20"/>
  <c r="I164" i="20" s="1"/>
  <c r="I165" i="20" s="1"/>
  <c r="H163" i="20"/>
  <c r="H164" i="20" s="1"/>
  <c r="H165" i="20" s="1"/>
  <c r="G163" i="20"/>
  <c r="F163" i="20"/>
  <c r="E163" i="20"/>
  <c r="P163" i="20" s="1"/>
  <c r="D163" i="20"/>
  <c r="O162" i="20"/>
  <c r="N162" i="20"/>
  <c r="M162" i="20"/>
  <c r="L162" i="20"/>
  <c r="K162" i="20"/>
  <c r="J162" i="20"/>
  <c r="I162" i="20"/>
  <c r="H162" i="20"/>
  <c r="G162" i="20"/>
  <c r="F162" i="20"/>
  <c r="E162" i="20"/>
  <c r="D162" i="20"/>
  <c r="P162" i="20" s="1"/>
  <c r="O161" i="20"/>
  <c r="P161" i="20" s="1"/>
  <c r="N161" i="20"/>
  <c r="M161" i="20"/>
  <c r="L161" i="20"/>
  <c r="K161" i="20"/>
  <c r="J161" i="20"/>
  <c r="I161" i="20"/>
  <c r="H161" i="20"/>
  <c r="G161" i="20"/>
  <c r="F161" i="20"/>
  <c r="E161" i="20"/>
  <c r="D161" i="20"/>
  <c r="O160" i="20"/>
  <c r="O164" i="20" s="1"/>
  <c r="O165" i="20" s="1"/>
  <c r="N160" i="20"/>
  <c r="N164" i="20" s="1"/>
  <c r="N165" i="20" s="1"/>
  <c r="M160" i="20"/>
  <c r="M164" i="20" s="1"/>
  <c r="M165" i="20" s="1"/>
  <c r="L160" i="20"/>
  <c r="L164" i="20" s="1"/>
  <c r="L165" i="20" s="1"/>
  <c r="K160" i="20"/>
  <c r="J160" i="20"/>
  <c r="I160" i="20"/>
  <c r="H160" i="20"/>
  <c r="G160" i="20"/>
  <c r="F160" i="20"/>
  <c r="F164" i="20" s="1"/>
  <c r="F165" i="20" s="1"/>
  <c r="E160" i="20"/>
  <c r="E164" i="20" s="1"/>
  <c r="E165" i="20" s="1"/>
  <c r="D160" i="20"/>
  <c r="D164" i="20" s="1"/>
  <c r="D165" i="20" s="1"/>
  <c r="K159" i="20"/>
  <c r="I159" i="20"/>
  <c r="K158" i="20"/>
  <c r="J158" i="20"/>
  <c r="J159" i="20" s="1"/>
  <c r="J166" i="20" s="1"/>
  <c r="I158" i="20"/>
  <c r="F158" i="20"/>
  <c r="F159" i="20" s="1"/>
  <c r="F166" i="20" s="1"/>
  <c r="B158" i="20"/>
  <c r="O157" i="20"/>
  <c r="N157" i="20"/>
  <c r="M157" i="20"/>
  <c r="L157" i="20"/>
  <c r="K157" i="20"/>
  <c r="J157" i="20"/>
  <c r="I157" i="20"/>
  <c r="H157" i="20"/>
  <c r="H158" i="20" s="1"/>
  <c r="H159" i="20" s="1"/>
  <c r="G157" i="20"/>
  <c r="G158" i="20" s="1"/>
  <c r="G159" i="20" s="1"/>
  <c r="F157" i="20"/>
  <c r="E157" i="20"/>
  <c r="D157" i="20"/>
  <c r="P157" i="20" s="1"/>
  <c r="O156" i="20"/>
  <c r="N156" i="20"/>
  <c r="M156" i="20"/>
  <c r="M158" i="20" s="1"/>
  <c r="M159" i="20" s="1"/>
  <c r="M166" i="20" s="1"/>
  <c r="L156" i="20"/>
  <c r="L158" i="20" s="1"/>
  <c r="L159" i="20" s="1"/>
  <c r="K156" i="20"/>
  <c r="J156" i="20"/>
  <c r="I156" i="20"/>
  <c r="H156" i="20"/>
  <c r="G156" i="20"/>
  <c r="F156" i="20"/>
  <c r="E156" i="20"/>
  <c r="D156" i="20"/>
  <c r="P156" i="20" s="1"/>
  <c r="O155" i="20"/>
  <c r="O158" i="20" s="1"/>
  <c r="O159" i="20" s="1"/>
  <c r="N155" i="20"/>
  <c r="N158" i="20" s="1"/>
  <c r="N159" i="20" s="1"/>
  <c r="M155" i="20"/>
  <c r="L155" i="20"/>
  <c r="K155" i="20"/>
  <c r="J155" i="20"/>
  <c r="I155" i="20"/>
  <c r="H155" i="20"/>
  <c r="G155" i="20"/>
  <c r="F155" i="20"/>
  <c r="E155" i="20"/>
  <c r="E158" i="20" s="1"/>
  <c r="E159" i="20" s="1"/>
  <c r="D155" i="20"/>
  <c r="D158" i="20" s="1"/>
  <c r="D159" i="20" s="1"/>
  <c r="N149" i="20"/>
  <c r="M149" i="20"/>
  <c r="L149" i="20"/>
  <c r="I149" i="20"/>
  <c r="H149" i="20"/>
  <c r="G149" i="20"/>
  <c r="F149" i="20"/>
  <c r="E149" i="20"/>
  <c r="D149" i="20"/>
  <c r="B149" i="20"/>
  <c r="P148" i="20"/>
  <c r="P149" i="20" s="1"/>
  <c r="O148" i="20"/>
  <c r="O149" i="20" s="1"/>
  <c r="N148" i="20"/>
  <c r="M148" i="20"/>
  <c r="L148" i="20"/>
  <c r="K148" i="20"/>
  <c r="K149" i="20" s="1"/>
  <c r="J148" i="20"/>
  <c r="J149" i="20" s="1"/>
  <c r="I148" i="20"/>
  <c r="H148" i="20"/>
  <c r="G148" i="20"/>
  <c r="F148" i="20"/>
  <c r="E148" i="20"/>
  <c r="D148" i="20"/>
  <c r="M147" i="20"/>
  <c r="B147" i="20"/>
  <c r="O146" i="20"/>
  <c r="N146" i="20"/>
  <c r="M146" i="20"/>
  <c r="L146" i="20"/>
  <c r="K146" i="20"/>
  <c r="P146" i="20" s="1"/>
  <c r="J146" i="20"/>
  <c r="I146" i="20"/>
  <c r="H146" i="20"/>
  <c r="G146" i="20"/>
  <c r="F146" i="20"/>
  <c r="E146" i="20"/>
  <c r="D146" i="20"/>
  <c r="O145" i="20"/>
  <c r="N145" i="20"/>
  <c r="M145" i="20"/>
  <c r="L145" i="20"/>
  <c r="K145" i="20"/>
  <c r="J145" i="20"/>
  <c r="I145" i="20"/>
  <c r="H145" i="20"/>
  <c r="G145" i="20"/>
  <c r="F145" i="20"/>
  <c r="E145" i="20"/>
  <c r="D145" i="20"/>
  <c r="P145" i="20" s="1"/>
  <c r="O144" i="20"/>
  <c r="N144" i="20"/>
  <c r="M144" i="20"/>
  <c r="L144" i="20"/>
  <c r="K144" i="20"/>
  <c r="J144" i="20"/>
  <c r="I144" i="20"/>
  <c r="H144" i="20"/>
  <c r="G144" i="20"/>
  <c r="F144" i="20"/>
  <c r="E144" i="20"/>
  <c r="P144" i="20" s="1"/>
  <c r="D144" i="20"/>
  <c r="O143" i="20"/>
  <c r="N143" i="20"/>
  <c r="M143" i="20"/>
  <c r="L143" i="20"/>
  <c r="K143" i="20"/>
  <c r="J143" i="20"/>
  <c r="I143" i="20"/>
  <c r="H143" i="20"/>
  <c r="H147" i="20" s="1"/>
  <c r="G143" i="20"/>
  <c r="F143" i="20"/>
  <c r="E143" i="20"/>
  <c r="D143" i="20"/>
  <c r="P143" i="20" s="1"/>
  <c r="O142" i="20"/>
  <c r="O147" i="20" s="1"/>
  <c r="N142" i="20"/>
  <c r="M142" i="20"/>
  <c r="L142" i="20"/>
  <c r="K142" i="20"/>
  <c r="J142" i="20"/>
  <c r="I142" i="20"/>
  <c r="I147" i="20" s="1"/>
  <c r="H142" i="20"/>
  <c r="G142" i="20"/>
  <c r="F142" i="20"/>
  <c r="E142" i="20"/>
  <c r="E147" i="20" s="1"/>
  <c r="D142" i="20"/>
  <c r="D147" i="20" s="1"/>
  <c r="O141" i="20"/>
  <c r="N141" i="20"/>
  <c r="N147" i="20" s="1"/>
  <c r="M141" i="20"/>
  <c r="L141" i="20"/>
  <c r="L147" i="20" s="1"/>
  <c r="K141" i="20"/>
  <c r="K147" i="20" s="1"/>
  <c r="J141" i="20"/>
  <c r="J147" i="20" s="1"/>
  <c r="I141" i="20"/>
  <c r="H141" i="20"/>
  <c r="G141" i="20"/>
  <c r="G147" i="20" s="1"/>
  <c r="F141" i="20"/>
  <c r="F147" i="20" s="1"/>
  <c r="E141" i="20"/>
  <c r="D141" i="20"/>
  <c r="O140" i="20"/>
  <c r="N140" i="20"/>
  <c r="M140" i="20"/>
  <c r="L140" i="20"/>
  <c r="K140" i="20"/>
  <c r="I140" i="20"/>
  <c r="B140" i="20"/>
  <c r="O139" i="20"/>
  <c r="N139" i="20"/>
  <c r="M139" i="20"/>
  <c r="L139" i="20"/>
  <c r="K139" i="20"/>
  <c r="J139" i="20"/>
  <c r="I139" i="20"/>
  <c r="H139" i="20"/>
  <c r="G139" i="20"/>
  <c r="F139" i="20"/>
  <c r="E139" i="20"/>
  <c r="D139" i="20"/>
  <c r="P139" i="20" s="1"/>
  <c r="O138" i="20"/>
  <c r="N138" i="20"/>
  <c r="M138" i="20"/>
  <c r="L138" i="20"/>
  <c r="K138" i="20"/>
  <c r="J138" i="20"/>
  <c r="J140" i="20" s="1"/>
  <c r="I138" i="20"/>
  <c r="H138" i="20"/>
  <c r="H140" i="20" s="1"/>
  <c r="G138" i="20"/>
  <c r="G140" i="20" s="1"/>
  <c r="F138" i="20"/>
  <c r="F140" i="20" s="1"/>
  <c r="E138" i="20"/>
  <c r="E140" i="20" s="1"/>
  <c r="D138" i="20"/>
  <c r="P138" i="20" s="1"/>
  <c r="D137" i="20"/>
  <c r="B137" i="20"/>
  <c r="O136" i="20"/>
  <c r="N136" i="20"/>
  <c r="M136" i="20"/>
  <c r="L136" i="20"/>
  <c r="K136" i="20"/>
  <c r="J136" i="20"/>
  <c r="I136" i="20"/>
  <c r="H136" i="20"/>
  <c r="G136" i="20"/>
  <c r="F136" i="20"/>
  <c r="E136" i="20"/>
  <c r="D136" i="20"/>
  <c r="P136" i="20" s="1"/>
  <c r="O135" i="20"/>
  <c r="N135" i="20"/>
  <c r="M135" i="20"/>
  <c r="L135" i="20"/>
  <c r="P135" i="20" s="1"/>
  <c r="K135" i="20"/>
  <c r="J135" i="20"/>
  <c r="I135" i="20"/>
  <c r="H135" i="20"/>
  <c r="G135" i="20"/>
  <c r="F135" i="20"/>
  <c r="E135" i="20"/>
  <c r="D135" i="20"/>
  <c r="O134" i="20"/>
  <c r="N134" i="20"/>
  <c r="M134" i="20"/>
  <c r="L134" i="20"/>
  <c r="K134" i="20"/>
  <c r="J134" i="20"/>
  <c r="I134" i="20"/>
  <c r="H134" i="20"/>
  <c r="G134" i="20"/>
  <c r="F134" i="20"/>
  <c r="E134" i="20"/>
  <c r="D134" i="20"/>
  <c r="P134" i="20" s="1"/>
  <c r="O133" i="20"/>
  <c r="N133" i="20"/>
  <c r="M133" i="20"/>
  <c r="L133" i="20"/>
  <c r="K133" i="20"/>
  <c r="J133" i="20"/>
  <c r="I133" i="20"/>
  <c r="H133" i="20"/>
  <c r="G133" i="20"/>
  <c r="F133" i="20"/>
  <c r="P133" i="20" s="1"/>
  <c r="E133" i="20"/>
  <c r="D133" i="20"/>
  <c r="O132" i="20"/>
  <c r="N132" i="20"/>
  <c r="M132" i="20"/>
  <c r="L132" i="20"/>
  <c r="K132" i="20"/>
  <c r="J132" i="20"/>
  <c r="I132" i="20"/>
  <c r="H132" i="20"/>
  <c r="G132" i="20"/>
  <c r="G137" i="20" s="1"/>
  <c r="F132" i="20"/>
  <c r="F137" i="20" s="1"/>
  <c r="E132" i="20"/>
  <c r="E137" i="20" s="1"/>
  <c r="D132" i="20"/>
  <c r="P132" i="20" s="1"/>
  <c r="P131" i="20"/>
  <c r="O131" i="20"/>
  <c r="N131" i="20"/>
  <c r="M131" i="20"/>
  <c r="L131" i="20"/>
  <c r="K131" i="20"/>
  <c r="J131" i="20"/>
  <c r="I131" i="20"/>
  <c r="H131" i="20"/>
  <c r="G131" i="20"/>
  <c r="F131" i="20"/>
  <c r="E131" i="20"/>
  <c r="D131" i="20"/>
  <c r="O130" i="20"/>
  <c r="N130" i="20"/>
  <c r="M130" i="20"/>
  <c r="P130" i="20" s="1"/>
  <c r="L130" i="20"/>
  <c r="K130" i="20"/>
  <c r="J130" i="20"/>
  <c r="I130" i="20"/>
  <c r="H130" i="20"/>
  <c r="H137" i="20" s="1"/>
  <c r="G130" i="20"/>
  <c r="F130" i="20"/>
  <c r="E130" i="20"/>
  <c r="D130" i="20"/>
  <c r="O129" i="20"/>
  <c r="O137" i="20" s="1"/>
  <c r="N129" i="20"/>
  <c r="N137" i="20" s="1"/>
  <c r="M129" i="20"/>
  <c r="M137" i="20" s="1"/>
  <c r="L129" i="20"/>
  <c r="L137" i="20" s="1"/>
  <c r="K129" i="20"/>
  <c r="K137" i="20" s="1"/>
  <c r="J129" i="20"/>
  <c r="J137" i="20" s="1"/>
  <c r="I129" i="20"/>
  <c r="I137" i="20" s="1"/>
  <c r="H129" i="20"/>
  <c r="G129" i="20"/>
  <c r="F129" i="20"/>
  <c r="E129" i="20"/>
  <c r="D129" i="20"/>
  <c r="N128" i="20"/>
  <c r="M128" i="20"/>
  <c r="L128" i="20"/>
  <c r="K128" i="20"/>
  <c r="J128" i="20"/>
  <c r="I128" i="20"/>
  <c r="G128" i="20"/>
  <c r="B128" i="20"/>
  <c r="O127" i="20"/>
  <c r="N127" i="20"/>
  <c r="M127" i="20"/>
  <c r="L127" i="20"/>
  <c r="K127" i="20"/>
  <c r="J127" i="20"/>
  <c r="I127" i="20"/>
  <c r="H127" i="20"/>
  <c r="G127" i="20"/>
  <c r="F127" i="20"/>
  <c r="E127" i="20"/>
  <c r="P127" i="20" s="1"/>
  <c r="D127" i="20"/>
  <c r="O126" i="20"/>
  <c r="O128" i="20" s="1"/>
  <c r="N126" i="20"/>
  <c r="M126" i="20"/>
  <c r="L126" i="20"/>
  <c r="K126" i="20"/>
  <c r="J126" i="20"/>
  <c r="I126" i="20"/>
  <c r="H126" i="20"/>
  <c r="H128" i="20" s="1"/>
  <c r="G126" i="20"/>
  <c r="F126" i="20"/>
  <c r="F128" i="20" s="1"/>
  <c r="E126" i="20"/>
  <c r="E128" i="20" s="1"/>
  <c r="D126" i="20"/>
  <c r="P126" i="20" s="1"/>
  <c r="P128" i="20" s="1"/>
  <c r="O125" i="20"/>
  <c r="B125" i="20"/>
  <c r="O124" i="20"/>
  <c r="N124" i="20"/>
  <c r="M124" i="20"/>
  <c r="P124" i="20" s="1"/>
  <c r="L124" i="20"/>
  <c r="K124" i="20"/>
  <c r="J124" i="20"/>
  <c r="I124" i="20"/>
  <c r="H124" i="20"/>
  <c r="G124" i="20"/>
  <c r="F124" i="20"/>
  <c r="E124" i="20"/>
  <c r="D124" i="20"/>
  <c r="O123" i="20"/>
  <c r="N123" i="20"/>
  <c r="M123" i="20"/>
  <c r="L123" i="20"/>
  <c r="K123" i="20"/>
  <c r="J123" i="20"/>
  <c r="P123" i="20" s="1"/>
  <c r="I123" i="20"/>
  <c r="H123" i="20"/>
  <c r="G123" i="20"/>
  <c r="F123" i="20"/>
  <c r="E123" i="20"/>
  <c r="D123" i="20"/>
  <c r="O122" i="20"/>
  <c r="N122" i="20"/>
  <c r="M122" i="20"/>
  <c r="L122" i="20"/>
  <c r="K122" i="20"/>
  <c r="J122" i="20"/>
  <c r="I122" i="20"/>
  <c r="H122" i="20"/>
  <c r="G122" i="20"/>
  <c r="F122" i="20"/>
  <c r="E122" i="20"/>
  <c r="D122" i="20"/>
  <c r="P122" i="20" s="1"/>
  <c r="O121" i="20"/>
  <c r="N121" i="20"/>
  <c r="M121" i="20"/>
  <c r="L121" i="20"/>
  <c r="K121" i="20"/>
  <c r="J121" i="20"/>
  <c r="J125" i="20" s="1"/>
  <c r="I121" i="20"/>
  <c r="H121" i="20"/>
  <c r="G121" i="20"/>
  <c r="F121" i="20"/>
  <c r="E121" i="20"/>
  <c r="D121" i="20"/>
  <c r="P121" i="20" s="1"/>
  <c r="O120" i="20"/>
  <c r="N120" i="20"/>
  <c r="M120" i="20"/>
  <c r="L120" i="20"/>
  <c r="K120" i="20"/>
  <c r="J120" i="20"/>
  <c r="I120" i="20"/>
  <c r="H120" i="20"/>
  <c r="G120" i="20"/>
  <c r="F120" i="20"/>
  <c r="F125" i="20" s="1"/>
  <c r="E120" i="20"/>
  <c r="E125" i="20" s="1"/>
  <c r="D120" i="20"/>
  <c r="P120" i="20" s="1"/>
  <c r="O119" i="20"/>
  <c r="N119" i="20"/>
  <c r="N125" i="20" s="1"/>
  <c r="M119" i="20"/>
  <c r="M125" i="20" s="1"/>
  <c r="L119" i="20"/>
  <c r="L125" i="20" s="1"/>
  <c r="K119" i="20"/>
  <c r="K125" i="20" s="1"/>
  <c r="J119" i="20"/>
  <c r="I119" i="20"/>
  <c r="I125" i="20" s="1"/>
  <c r="H119" i="20"/>
  <c r="H125" i="20" s="1"/>
  <c r="G119" i="20"/>
  <c r="G125" i="20" s="1"/>
  <c r="F119" i="20"/>
  <c r="E119" i="20"/>
  <c r="D119" i="20"/>
  <c r="O118" i="20"/>
  <c r="N118" i="20"/>
  <c r="M118" i="20"/>
  <c r="K118" i="20"/>
  <c r="B118" i="20"/>
  <c r="O117" i="20"/>
  <c r="N117" i="20"/>
  <c r="M117" i="20"/>
  <c r="L117" i="20"/>
  <c r="K117" i="20"/>
  <c r="J117" i="20"/>
  <c r="I117" i="20"/>
  <c r="H117" i="20"/>
  <c r="G117" i="20"/>
  <c r="F117" i="20"/>
  <c r="E117" i="20"/>
  <c r="D117" i="20"/>
  <c r="P117" i="20" s="1"/>
  <c r="O116" i="20"/>
  <c r="N116" i="20"/>
  <c r="M116" i="20"/>
  <c r="L116" i="20"/>
  <c r="L118" i="20" s="1"/>
  <c r="K116" i="20"/>
  <c r="J116" i="20"/>
  <c r="I116" i="20"/>
  <c r="H116" i="20"/>
  <c r="G116" i="20"/>
  <c r="F116" i="20"/>
  <c r="P116" i="20" s="1"/>
  <c r="E116" i="20"/>
  <c r="D116" i="20"/>
  <c r="O115" i="20"/>
  <c r="N115" i="20"/>
  <c r="M115" i="20"/>
  <c r="L115" i="20"/>
  <c r="K115" i="20"/>
  <c r="J115" i="20"/>
  <c r="I115" i="20"/>
  <c r="I118" i="20" s="1"/>
  <c r="H115" i="20"/>
  <c r="G115" i="20"/>
  <c r="F115" i="20"/>
  <c r="E115" i="20"/>
  <c r="D115" i="20"/>
  <c r="P115" i="20" s="1"/>
  <c r="P114" i="20"/>
  <c r="O114" i="20"/>
  <c r="N114" i="20"/>
  <c r="M114" i="20"/>
  <c r="L114" i="20"/>
  <c r="K114" i="20"/>
  <c r="J114" i="20"/>
  <c r="J118" i="20" s="1"/>
  <c r="I114" i="20"/>
  <c r="H114" i="20"/>
  <c r="H118" i="20" s="1"/>
  <c r="G114" i="20"/>
  <c r="G118" i="20" s="1"/>
  <c r="F114" i="20"/>
  <c r="F118" i="20" s="1"/>
  <c r="E114" i="20"/>
  <c r="E118" i="20" s="1"/>
  <c r="D114" i="20"/>
  <c r="D118" i="20" s="1"/>
  <c r="O113" i="20"/>
  <c r="M113" i="20"/>
  <c r="B113" i="20"/>
  <c r="O112" i="20"/>
  <c r="N112" i="20"/>
  <c r="M112" i="20"/>
  <c r="L112" i="20"/>
  <c r="K112" i="20"/>
  <c r="P112" i="20" s="1"/>
  <c r="J112" i="20"/>
  <c r="I112" i="20"/>
  <c r="H112" i="20"/>
  <c r="G112" i="20"/>
  <c r="F112" i="20"/>
  <c r="E112" i="20"/>
  <c r="D112" i="20"/>
  <c r="O111" i="20"/>
  <c r="N111" i="20"/>
  <c r="N113" i="20" s="1"/>
  <c r="M111" i="20"/>
  <c r="L111" i="20"/>
  <c r="K111" i="20"/>
  <c r="J111" i="20"/>
  <c r="I111" i="20"/>
  <c r="H111" i="20"/>
  <c r="G111" i="20"/>
  <c r="F111" i="20"/>
  <c r="E111" i="20"/>
  <c r="D111" i="20"/>
  <c r="P111" i="20" s="1"/>
  <c r="O110" i="20"/>
  <c r="N110" i="20"/>
  <c r="M110" i="20"/>
  <c r="L110" i="20"/>
  <c r="K110" i="20"/>
  <c r="J110" i="20"/>
  <c r="I110" i="20"/>
  <c r="H110" i="20"/>
  <c r="G110" i="20"/>
  <c r="F110" i="20"/>
  <c r="E110" i="20"/>
  <c r="P110" i="20" s="1"/>
  <c r="D110" i="20"/>
  <c r="O109" i="20"/>
  <c r="N109" i="20"/>
  <c r="M109" i="20"/>
  <c r="L109" i="20"/>
  <c r="L113" i="20" s="1"/>
  <c r="K109" i="20"/>
  <c r="K113" i="20" s="1"/>
  <c r="J109" i="20"/>
  <c r="J113" i="20" s="1"/>
  <c r="I109" i="20"/>
  <c r="I113" i="20" s="1"/>
  <c r="H109" i="20"/>
  <c r="H113" i="20" s="1"/>
  <c r="G109" i="20"/>
  <c r="G113" i="20" s="1"/>
  <c r="F109" i="20"/>
  <c r="F113" i="20" s="1"/>
  <c r="E109" i="20"/>
  <c r="E113" i="20" s="1"/>
  <c r="D109" i="20"/>
  <c r="P109" i="20" s="1"/>
  <c r="O108" i="20"/>
  <c r="B108" i="20"/>
  <c r="O107" i="20"/>
  <c r="N107" i="20"/>
  <c r="M107" i="20"/>
  <c r="P107" i="20" s="1"/>
  <c r="L107" i="20"/>
  <c r="K107" i="20"/>
  <c r="J107" i="20"/>
  <c r="I107" i="20"/>
  <c r="H107" i="20"/>
  <c r="G107" i="20"/>
  <c r="F107" i="20"/>
  <c r="E107" i="20"/>
  <c r="D107" i="20"/>
  <c r="O106" i="20"/>
  <c r="N106" i="20"/>
  <c r="M106" i="20"/>
  <c r="L106" i="20"/>
  <c r="K106" i="20"/>
  <c r="J106" i="20"/>
  <c r="P106" i="20" s="1"/>
  <c r="I106" i="20"/>
  <c r="H106" i="20"/>
  <c r="G106" i="20"/>
  <c r="F106" i="20"/>
  <c r="E106" i="20"/>
  <c r="D106" i="20"/>
  <c r="O105" i="20"/>
  <c r="N105" i="20"/>
  <c r="M105" i="20"/>
  <c r="L105" i="20"/>
  <c r="K105" i="20"/>
  <c r="J105" i="20"/>
  <c r="I105" i="20"/>
  <c r="H105" i="20"/>
  <c r="G105" i="20"/>
  <c r="F105" i="20"/>
  <c r="E105" i="20"/>
  <c r="D105" i="20"/>
  <c r="P105" i="20" s="1"/>
  <c r="O104" i="20"/>
  <c r="N104" i="20"/>
  <c r="M104" i="20"/>
  <c r="L104" i="20"/>
  <c r="K104" i="20"/>
  <c r="J104" i="20"/>
  <c r="J108" i="20" s="1"/>
  <c r="I104" i="20"/>
  <c r="H104" i="20"/>
  <c r="G104" i="20"/>
  <c r="F104" i="20"/>
  <c r="E104" i="20"/>
  <c r="D104" i="20"/>
  <c r="P104" i="20" s="1"/>
  <c r="O103" i="20"/>
  <c r="N103" i="20"/>
  <c r="M103" i="20"/>
  <c r="L103" i="20"/>
  <c r="K103" i="20"/>
  <c r="J103" i="20"/>
  <c r="I103" i="20"/>
  <c r="H103" i="20"/>
  <c r="G103" i="20"/>
  <c r="F103" i="20"/>
  <c r="F108" i="20" s="1"/>
  <c r="E103" i="20"/>
  <c r="E108" i="20" s="1"/>
  <c r="D103" i="20"/>
  <c r="P103" i="20" s="1"/>
  <c r="O102" i="20"/>
  <c r="N102" i="20"/>
  <c r="N108" i="20" s="1"/>
  <c r="M102" i="20"/>
  <c r="M108" i="20" s="1"/>
  <c r="L102" i="20"/>
  <c r="L108" i="20" s="1"/>
  <c r="K102" i="20"/>
  <c r="K108" i="20" s="1"/>
  <c r="J102" i="20"/>
  <c r="I102" i="20"/>
  <c r="I108" i="20" s="1"/>
  <c r="H102" i="20"/>
  <c r="H108" i="20" s="1"/>
  <c r="G102" i="20"/>
  <c r="G108" i="20" s="1"/>
  <c r="F102" i="20"/>
  <c r="E102" i="20"/>
  <c r="D102" i="20"/>
  <c r="D108" i="20" s="1"/>
  <c r="O101" i="20"/>
  <c r="N101" i="20"/>
  <c r="M101" i="20"/>
  <c r="K101" i="20"/>
  <c r="B101" i="20"/>
  <c r="O100" i="20"/>
  <c r="N100" i="20"/>
  <c r="M100" i="20"/>
  <c r="L100" i="20"/>
  <c r="K100" i="20"/>
  <c r="J100" i="20"/>
  <c r="I100" i="20"/>
  <c r="H100" i="20"/>
  <c r="G100" i="20"/>
  <c r="F100" i="20"/>
  <c r="E100" i="20"/>
  <c r="D100" i="20"/>
  <c r="P100" i="20" s="1"/>
  <c r="O99" i="20"/>
  <c r="N99" i="20"/>
  <c r="M99" i="20"/>
  <c r="L99" i="20"/>
  <c r="L101" i="20" s="1"/>
  <c r="K99" i="20"/>
  <c r="J99" i="20"/>
  <c r="I99" i="20"/>
  <c r="H99" i="20"/>
  <c r="G99" i="20"/>
  <c r="F99" i="20"/>
  <c r="P99" i="20" s="1"/>
  <c r="E99" i="20"/>
  <c r="D99" i="20"/>
  <c r="O98" i="20"/>
  <c r="N98" i="20"/>
  <c r="M98" i="20"/>
  <c r="L98" i="20"/>
  <c r="K98" i="20"/>
  <c r="J98" i="20"/>
  <c r="J101" i="20" s="1"/>
  <c r="I98" i="20"/>
  <c r="I101" i="20" s="1"/>
  <c r="H98" i="20"/>
  <c r="H101" i="20" s="1"/>
  <c r="G98" i="20"/>
  <c r="G101" i="20" s="1"/>
  <c r="F98" i="20"/>
  <c r="F101" i="20" s="1"/>
  <c r="E98" i="20"/>
  <c r="E101" i="20" s="1"/>
  <c r="D98" i="20"/>
  <c r="P98" i="20" s="1"/>
  <c r="G97" i="20"/>
  <c r="F97" i="20"/>
  <c r="E97" i="20"/>
  <c r="D97" i="20"/>
  <c r="B97" i="20"/>
  <c r="O96" i="20"/>
  <c r="N96" i="20"/>
  <c r="P96" i="20" s="1"/>
  <c r="M96" i="20"/>
  <c r="L96" i="20"/>
  <c r="K96" i="20"/>
  <c r="J96" i="20"/>
  <c r="I96" i="20"/>
  <c r="H96" i="20"/>
  <c r="G96" i="20"/>
  <c r="F96" i="20"/>
  <c r="E96" i="20"/>
  <c r="D96" i="20"/>
  <c r="O95" i="20"/>
  <c r="N95" i="20"/>
  <c r="M95" i="20"/>
  <c r="L95" i="20"/>
  <c r="K95" i="20"/>
  <c r="P95" i="20" s="1"/>
  <c r="J95" i="20"/>
  <c r="I95" i="20"/>
  <c r="H95" i="20"/>
  <c r="G95" i="20"/>
  <c r="F95" i="20"/>
  <c r="E95" i="20"/>
  <c r="D95" i="20"/>
  <c r="O94" i="20"/>
  <c r="O97" i="20" s="1"/>
  <c r="N94" i="20"/>
  <c r="N97" i="20" s="1"/>
  <c r="M94" i="20"/>
  <c r="M97" i="20" s="1"/>
  <c r="L94" i="20"/>
  <c r="L97" i="20" s="1"/>
  <c r="K94" i="20"/>
  <c r="K97" i="20" s="1"/>
  <c r="J94" i="20"/>
  <c r="J97" i="20" s="1"/>
  <c r="I94" i="20"/>
  <c r="I97" i="20" s="1"/>
  <c r="H94" i="20"/>
  <c r="H97" i="20" s="1"/>
  <c r="G94" i="20"/>
  <c r="F94" i="20"/>
  <c r="E94" i="20"/>
  <c r="D94" i="20"/>
  <c r="P94" i="20" s="1"/>
  <c r="P97" i="20" s="1"/>
  <c r="H93" i="20"/>
  <c r="E93" i="20"/>
  <c r="B93" i="20"/>
  <c r="O92" i="20"/>
  <c r="N92" i="20"/>
  <c r="M92" i="20"/>
  <c r="L92" i="20"/>
  <c r="K92" i="20"/>
  <c r="J92" i="20"/>
  <c r="I92" i="20"/>
  <c r="H92" i="20"/>
  <c r="G92" i="20"/>
  <c r="F92" i="20"/>
  <c r="E92" i="20"/>
  <c r="D92" i="20"/>
  <c r="P92" i="20" s="1"/>
  <c r="P91" i="20"/>
  <c r="O91" i="20"/>
  <c r="N91" i="20"/>
  <c r="M91" i="20"/>
  <c r="L91" i="20"/>
  <c r="K91" i="20"/>
  <c r="J91" i="20"/>
  <c r="I91" i="20"/>
  <c r="H91" i="20"/>
  <c r="G91" i="20"/>
  <c r="F91" i="20"/>
  <c r="E91" i="20"/>
  <c r="D91" i="20"/>
  <c r="O90" i="20"/>
  <c r="N90" i="20"/>
  <c r="M90" i="20"/>
  <c r="P90" i="20" s="1"/>
  <c r="L90" i="20"/>
  <c r="K90" i="20"/>
  <c r="J90" i="20"/>
  <c r="I90" i="20"/>
  <c r="H90" i="20"/>
  <c r="G90" i="20"/>
  <c r="F90" i="20"/>
  <c r="E90" i="20"/>
  <c r="D90" i="20"/>
  <c r="O89" i="20"/>
  <c r="O93" i="20" s="1"/>
  <c r="N89" i="20"/>
  <c r="M89" i="20"/>
  <c r="L89" i="20"/>
  <c r="K89" i="20"/>
  <c r="J89" i="20"/>
  <c r="P89" i="20" s="1"/>
  <c r="I89" i="20"/>
  <c r="H89" i="20"/>
  <c r="G89" i="20"/>
  <c r="F89" i="20"/>
  <c r="E89" i="20"/>
  <c r="D89" i="20"/>
  <c r="D93" i="20" s="1"/>
  <c r="O88" i="20"/>
  <c r="N88" i="20"/>
  <c r="N93" i="20" s="1"/>
  <c r="M88" i="20"/>
  <c r="M93" i="20" s="1"/>
  <c r="L88" i="20"/>
  <c r="L93" i="20" s="1"/>
  <c r="K88" i="20"/>
  <c r="K93" i="20" s="1"/>
  <c r="J88" i="20"/>
  <c r="J93" i="20" s="1"/>
  <c r="I88" i="20"/>
  <c r="I93" i="20" s="1"/>
  <c r="H88" i="20"/>
  <c r="G88" i="20"/>
  <c r="G93" i="20" s="1"/>
  <c r="F88" i="20"/>
  <c r="F93" i="20" s="1"/>
  <c r="E88" i="20"/>
  <c r="D88" i="20"/>
  <c r="P88" i="20" s="1"/>
  <c r="P93" i="20" s="1"/>
  <c r="J87" i="20"/>
  <c r="H87" i="20"/>
  <c r="G87" i="20"/>
  <c r="F87" i="20"/>
  <c r="D87" i="20"/>
  <c r="B87" i="20"/>
  <c r="O86" i="20"/>
  <c r="N86" i="20"/>
  <c r="M86" i="20"/>
  <c r="L86" i="20"/>
  <c r="K86" i="20"/>
  <c r="J86" i="20"/>
  <c r="I86" i="20"/>
  <c r="H86" i="20"/>
  <c r="G86" i="20"/>
  <c r="F86" i="20"/>
  <c r="E86" i="20"/>
  <c r="D86" i="20"/>
  <c r="P86" i="20" s="1"/>
  <c r="O85" i="20"/>
  <c r="N85" i="20"/>
  <c r="M85" i="20"/>
  <c r="L85" i="20"/>
  <c r="K85" i="20"/>
  <c r="J85" i="20"/>
  <c r="I85" i="20"/>
  <c r="H85" i="20"/>
  <c r="G85" i="20"/>
  <c r="F85" i="20"/>
  <c r="E85" i="20"/>
  <c r="D85" i="20"/>
  <c r="P85" i="20" s="1"/>
  <c r="O84" i="20"/>
  <c r="N84" i="20"/>
  <c r="M84" i="20"/>
  <c r="L84" i="20"/>
  <c r="P84" i="20" s="1"/>
  <c r="K84" i="20"/>
  <c r="J84" i="20"/>
  <c r="I84" i="20"/>
  <c r="H84" i="20"/>
  <c r="G84" i="20"/>
  <c r="F84" i="20"/>
  <c r="E84" i="20"/>
  <c r="D84" i="20"/>
  <c r="O83" i="20"/>
  <c r="O87" i="20" s="1"/>
  <c r="N83" i="20"/>
  <c r="N87" i="20" s="1"/>
  <c r="M83" i="20"/>
  <c r="M87" i="20" s="1"/>
  <c r="L83" i="20"/>
  <c r="L87" i="20" s="1"/>
  <c r="K83" i="20"/>
  <c r="K87" i="20" s="1"/>
  <c r="J83" i="20"/>
  <c r="I83" i="20"/>
  <c r="I87" i="20" s="1"/>
  <c r="H83" i="20"/>
  <c r="G83" i="20"/>
  <c r="F83" i="20"/>
  <c r="E83" i="20"/>
  <c r="E87" i="20" s="1"/>
  <c r="D83" i="20"/>
  <c r="P83" i="20" s="1"/>
  <c r="P87" i="20" s="1"/>
  <c r="M82" i="20"/>
  <c r="M150" i="20" s="1"/>
  <c r="L82" i="20"/>
  <c r="K82" i="20"/>
  <c r="K150" i="20" s="1"/>
  <c r="J82" i="20"/>
  <c r="J150" i="20" s="1"/>
  <c r="I82" i="20"/>
  <c r="H82" i="20"/>
  <c r="H150" i="20" s="1"/>
  <c r="F82" i="20"/>
  <c r="E82" i="20"/>
  <c r="B82" i="20"/>
  <c r="O81" i="20"/>
  <c r="O82" i="20" s="1"/>
  <c r="N81" i="20"/>
  <c r="N82" i="20" s="1"/>
  <c r="M81" i="20"/>
  <c r="L81" i="20"/>
  <c r="K81" i="20"/>
  <c r="J81" i="20"/>
  <c r="I81" i="20"/>
  <c r="H81" i="20"/>
  <c r="G81" i="20"/>
  <c r="G82" i="20" s="1"/>
  <c r="F81" i="20"/>
  <c r="E81" i="20"/>
  <c r="D81" i="20"/>
  <c r="D82" i="20" s="1"/>
  <c r="N79" i="20"/>
  <c r="B79" i="20"/>
  <c r="O78" i="20"/>
  <c r="N78" i="20"/>
  <c r="M78" i="20"/>
  <c r="L78" i="20"/>
  <c r="P78" i="20" s="1"/>
  <c r="K78" i="20"/>
  <c r="J78" i="20"/>
  <c r="I78" i="20"/>
  <c r="H78" i="20"/>
  <c r="G78" i="20"/>
  <c r="F78" i="20"/>
  <c r="E78" i="20"/>
  <c r="D78" i="20"/>
  <c r="O77" i="20"/>
  <c r="N77" i="20"/>
  <c r="M77" i="20"/>
  <c r="L77" i="20"/>
  <c r="K77" i="20"/>
  <c r="J77" i="20"/>
  <c r="I77" i="20"/>
  <c r="H77" i="20"/>
  <c r="G77" i="20"/>
  <c r="F77" i="20"/>
  <c r="E77" i="20"/>
  <c r="D77" i="20"/>
  <c r="P77" i="20" s="1"/>
  <c r="O76" i="20"/>
  <c r="N76" i="20"/>
  <c r="M76" i="20"/>
  <c r="L76" i="20"/>
  <c r="K76" i="20"/>
  <c r="J76" i="20"/>
  <c r="I76" i="20"/>
  <c r="H76" i="20"/>
  <c r="G76" i="20"/>
  <c r="F76" i="20"/>
  <c r="E76" i="20"/>
  <c r="P76" i="20" s="1"/>
  <c r="D76" i="20"/>
  <c r="O75" i="20"/>
  <c r="N75" i="20"/>
  <c r="M75" i="20"/>
  <c r="L75" i="20"/>
  <c r="K75" i="20"/>
  <c r="J75" i="20"/>
  <c r="I75" i="20"/>
  <c r="H75" i="20"/>
  <c r="G75" i="20"/>
  <c r="F75" i="20"/>
  <c r="E75" i="20"/>
  <c r="P75" i="20" s="1"/>
  <c r="D75" i="20"/>
  <c r="P74" i="20"/>
  <c r="O74" i="20"/>
  <c r="N74" i="20"/>
  <c r="M74" i="20"/>
  <c r="L74" i="20"/>
  <c r="K74" i="20"/>
  <c r="J74" i="20"/>
  <c r="I74" i="20"/>
  <c r="H74" i="20"/>
  <c r="G74" i="20"/>
  <c r="F74" i="20"/>
  <c r="E74" i="20"/>
  <c r="D74" i="20"/>
  <c r="D79" i="20" s="1"/>
  <c r="O73" i="20"/>
  <c r="N73" i="20"/>
  <c r="M73" i="20"/>
  <c r="P73" i="20" s="1"/>
  <c r="L73" i="20"/>
  <c r="K73" i="20"/>
  <c r="J73" i="20"/>
  <c r="I73" i="20"/>
  <c r="H73" i="20"/>
  <c r="G73" i="20"/>
  <c r="F73" i="20"/>
  <c r="E73" i="20"/>
  <c r="D73" i="20"/>
  <c r="O72" i="20"/>
  <c r="N72" i="20"/>
  <c r="M72" i="20"/>
  <c r="L72" i="20"/>
  <c r="K72" i="20"/>
  <c r="J72" i="20"/>
  <c r="P72" i="20" s="1"/>
  <c r="I72" i="20"/>
  <c r="H72" i="20"/>
  <c r="H79" i="20" s="1"/>
  <c r="G72" i="20"/>
  <c r="F72" i="20"/>
  <c r="E72" i="20"/>
  <c r="E79" i="20" s="1"/>
  <c r="D72" i="20"/>
  <c r="O71" i="20"/>
  <c r="O79" i="20" s="1"/>
  <c r="N71" i="20"/>
  <c r="M71" i="20"/>
  <c r="M79" i="20" s="1"/>
  <c r="L71" i="20"/>
  <c r="L79" i="20" s="1"/>
  <c r="K71" i="20"/>
  <c r="K79" i="20" s="1"/>
  <c r="J71" i="20"/>
  <c r="J79" i="20" s="1"/>
  <c r="I71" i="20"/>
  <c r="I79" i="20" s="1"/>
  <c r="H71" i="20"/>
  <c r="G71" i="20"/>
  <c r="G79" i="20" s="1"/>
  <c r="F71" i="20"/>
  <c r="F79" i="20" s="1"/>
  <c r="E71" i="20"/>
  <c r="D71" i="20"/>
  <c r="P71" i="20" s="1"/>
  <c r="K70" i="20"/>
  <c r="J70" i="20"/>
  <c r="I70" i="20"/>
  <c r="H70" i="20"/>
  <c r="G70" i="20"/>
  <c r="F70" i="20"/>
  <c r="D70" i="20"/>
  <c r="B70" i="20"/>
  <c r="O69" i="20"/>
  <c r="N69" i="20"/>
  <c r="M69" i="20"/>
  <c r="L69" i="20"/>
  <c r="K69" i="20"/>
  <c r="J69" i="20"/>
  <c r="I69" i="20"/>
  <c r="H69" i="20"/>
  <c r="G69" i="20"/>
  <c r="F69" i="20"/>
  <c r="E69" i="20"/>
  <c r="D69" i="20"/>
  <c r="P69" i="20" s="1"/>
  <c r="O68" i="20"/>
  <c r="O70" i="20" s="1"/>
  <c r="N68" i="20"/>
  <c r="N70" i="20" s="1"/>
  <c r="M68" i="20"/>
  <c r="M70" i="20" s="1"/>
  <c r="L68" i="20"/>
  <c r="L70" i="20" s="1"/>
  <c r="K68" i="20"/>
  <c r="J68" i="20"/>
  <c r="I68" i="20"/>
  <c r="H68" i="20"/>
  <c r="G68" i="20"/>
  <c r="F68" i="20"/>
  <c r="E68" i="20"/>
  <c r="E70" i="20" s="1"/>
  <c r="D68" i="20"/>
  <c r="P68" i="20" s="1"/>
  <c r="O67" i="20"/>
  <c r="N67" i="20"/>
  <c r="L67" i="20"/>
  <c r="B67" i="20"/>
  <c r="O66" i="20"/>
  <c r="N66" i="20"/>
  <c r="M66" i="20"/>
  <c r="L66" i="20"/>
  <c r="K66" i="20"/>
  <c r="J66" i="20"/>
  <c r="P66" i="20" s="1"/>
  <c r="I66" i="20"/>
  <c r="H66" i="20"/>
  <c r="H67" i="20" s="1"/>
  <c r="G66" i="20"/>
  <c r="F66" i="20"/>
  <c r="E66" i="20"/>
  <c r="D66" i="20"/>
  <c r="O65" i="20"/>
  <c r="N65" i="20"/>
  <c r="M65" i="20"/>
  <c r="M67" i="20" s="1"/>
  <c r="L65" i="20"/>
  <c r="K65" i="20"/>
  <c r="K67" i="20" s="1"/>
  <c r="J65" i="20"/>
  <c r="J67" i="20" s="1"/>
  <c r="I65" i="20"/>
  <c r="I67" i="20" s="1"/>
  <c r="H65" i="20"/>
  <c r="G65" i="20"/>
  <c r="G67" i="20" s="1"/>
  <c r="F65" i="20"/>
  <c r="F67" i="20" s="1"/>
  <c r="E65" i="20"/>
  <c r="E67" i="20" s="1"/>
  <c r="D65" i="20"/>
  <c r="P65" i="20" s="1"/>
  <c r="K64" i="20"/>
  <c r="J64" i="20"/>
  <c r="I64" i="20"/>
  <c r="H64" i="20"/>
  <c r="G64" i="20"/>
  <c r="F64" i="20"/>
  <c r="D64" i="20"/>
  <c r="B64" i="20"/>
  <c r="O63" i="20"/>
  <c r="N63" i="20"/>
  <c r="M63" i="20"/>
  <c r="L63" i="20"/>
  <c r="K63" i="20"/>
  <c r="J63" i="20"/>
  <c r="I63" i="20"/>
  <c r="H63" i="20"/>
  <c r="G63" i="20"/>
  <c r="F63" i="20"/>
  <c r="E63" i="20"/>
  <c r="D63" i="20"/>
  <c r="P63" i="20" s="1"/>
  <c r="O62" i="20"/>
  <c r="O64" i="20" s="1"/>
  <c r="N62" i="20"/>
  <c r="N64" i="20" s="1"/>
  <c r="M62" i="20"/>
  <c r="M64" i="20" s="1"/>
  <c r="L62" i="20"/>
  <c r="L64" i="20" s="1"/>
  <c r="K62" i="20"/>
  <c r="J62" i="20"/>
  <c r="I62" i="20"/>
  <c r="H62" i="20"/>
  <c r="G62" i="20"/>
  <c r="F62" i="20"/>
  <c r="E62" i="20"/>
  <c r="E64" i="20" s="1"/>
  <c r="D62" i="20"/>
  <c r="P62" i="20" s="1"/>
  <c r="P64" i="20" s="1"/>
  <c r="L61" i="20"/>
  <c r="B61" i="20"/>
  <c r="O60" i="20"/>
  <c r="N60" i="20"/>
  <c r="M60" i="20"/>
  <c r="L60" i="20"/>
  <c r="K60" i="20"/>
  <c r="J60" i="20"/>
  <c r="P60" i="20" s="1"/>
  <c r="I60" i="20"/>
  <c r="H60" i="20"/>
  <c r="G60" i="20"/>
  <c r="F60" i="20"/>
  <c r="E60" i="20"/>
  <c r="D60" i="20"/>
  <c r="O59" i="20"/>
  <c r="N59" i="20"/>
  <c r="M59" i="20"/>
  <c r="L59" i="20"/>
  <c r="K59" i="20"/>
  <c r="J59" i="20"/>
  <c r="I59" i="20"/>
  <c r="H59" i="20"/>
  <c r="G59" i="20"/>
  <c r="F59" i="20"/>
  <c r="E59" i="20"/>
  <c r="D59" i="20"/>
  <c r="P59" i="20" s="1"/>
  <c r="O58" i="20"/>
  <c r="N58" i="20"/>
  <c r="M58" i="20"/>
  <c r="L58" i="20"/>
  <c r="K58" i="20"/>
  <c r="J58" i="20"/>
  <c r="I58" i="20"/>
  <c r="H58" i="20"/>
  <c r="G58" i="20"/>
  <c r="F58" i="20"/>
  <c r="E58" i="20"/>
  <c r="D58" i="20"/>
  <c r="P58" i="20" s="1"/>
  <c r="O57" i="20"/>
  <c r="N57" i="20"/>
  <c r="M57" i="20"/>
  <c r="L57" i="20"/>
  <c r="K57" i="20"/>
  <c r="J57" i="20"/>
  <c r="I57" i="20"/>
  <c r="H57" i="20"/>
  <c r="G57" i="20"/>
  <c r="G61" i="20" s="1"/>
  <c r="F57" i="20"/>
  <c r="E57" i="20"/>
  <c r="D57" i="20"/>
  <c r="P57" i="20" s="1"/>
  <c r="O56" i="20"/>
  <c r="N56" i="20"/>
  <c r="N61" i="20" s="1"/>
  <c r="M56" i="20"/>
  <c r="L56" i="20"/>
  <c r="K56" i="20"/>
  <c r="J56" i="20"/>
  <c r="I56" i="20"/>
  <c r="H56" i="20"/>
  <c r="G56" i="20"/>
  <c r="F56" i="20"/>
  <c r="E56" i="20"/>
  <c r="D56" i="20"/>
  <c r="O55" i="20"/>
  <c r="O61" i="20" s="1"/>
  <c r="N55" i="20"/>
  <c r="M55" i="20"/>
  <c r="M61" i="20" s="1"/>
  <c r="L55" i="20"/>
  <c r="K55" i="20"/>
  <c r="K61" i="20" s="1"/>
  <c r="J55" i="20"/>
  <c r="J61" i="20" s="1"/>
  <c r="I55" i="20"/>
  <c r="I61" i="20" s="1"/>
  <c r="H55" i="20"/>
  <c r="H61" i="20" s="1"/>
  <c r="G55" i="20"/>
  <c r="F55" i="20"/>
  <c r="F61" i="20" s="1"/>
  <c r="E55" i="20"/>
  <c r="E61" i="20" s="1"/>
  <c r="D55" i="20"/>
  <c r="D61" i="20" s="1"/>
  <c r="H54" i="20"/>
  <c r="B54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P53" i="20" s="1"/>
  <c r="O52" i="20"/>
  <c r="N52" i="20"/>
  <c r="M52" i="20"/>
  <c r="L52" i="20"/>
  <c r="K52" i="20"/>
  <c r="J52" i="20"/>
  <c r="I52" i="20"/>
  <c r="H52" i="20"/>
  <c r="G52" i="20"/>
  <c r="F52" i="20"/>
  <c r="E52" i="20"/>
  <c r="P52" i="20" s="1"/>
  <c r="D52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O50" i="20"/>
  <c r="N50" i="20"/>
  <c r="M50" i="20"/>
  <c r="P50" i="20" s="1"/>
  <c r="L50" i="20"/>
  <c r="K50" i="20"/>
  <c r="J50" i="20"/>
  <c r="I50" i="20"/>
  <c r="H50" i="20"/>
  <c r="G50" i="20"/>
  <c r="F50" i="20"/>
  <c r="E50" i="20"/>
  <c r="D50" i="20"/>
  <c r="O49" i="20"/>
  <c r="N49" i="20"/>
  <c r="M49" i="20"/>
  <c r="L49" i="20"/>
  <c r="L54" i="20" s="1"/>
  <c r="L80" i="20" s="1"/>
  <c r="K49" i="20"/>
  <c r="J49" i="20"/>
  <c r="P49" i="20" s="1"/>
  <c r="I49" i="20"/>
  <c r="H49" i="20"/>
  <c r="G49" i="20"/>
  <c r="F49" i="20"/>
  <c r="E49" i="20"/>
  <c r="D49" i="20"/>
  <c r="O48" i="20"/>
  <c r="N48" i="20"/>
  <c r="M48" i="20"/>
  <c r="M54" i="20" s="1"/>
  <c r="L48" i="20"/>
  <c r="K48" i="20"/>
  <c r="K54" i="20" s="1"/>
  <c r="K80" i="20" s="1"/>
  <c r="J48" i="20"/>
  <c r="I48" i="20"/>
  <c r="H48" i="20"/>
  <c r="G48" i="20"/>
  <c r="F48" i="20"/>
  <c r="E48" i="20"/>
  <c r="D48" i="20"/>
  <c r="P48" i="20" s="1"/>
  <c r="O47" i="20"/>
  <c r="O54" i="20" s="1"/>
  <c r="N47" i="20"/>
  <c r="M47" i="20"/>
  <c r="L47" i="20"/>
  <c r="K47" i="20"/>
  <c r="J47" i="20"/>
  <c r="I47" i="20"/>
  <c r="H47" i="20"/>
  <c r="G47" i="20"/>
  <c r="F47" i="20"/>
  <c r="E47" i="20"/>
  <c r="D47" i="20"/>
  <c r="P47" i="20" s="1"/>
  <c r="O46" i="20"/>
  <c r="N46" i="20"/>
  <c r="M46" i="20"/>
  <c r="L46" i="20"/>
  <c r="K46" i="20"/>
  <c r="J46" i="20"/>
  <c r="I46" i="20"/>
  <c r="H46" i="20"/>
  <c r="G46" i="20"/>
  <c r="G54" i="20" s="1"/>
  <c r="F46" i="20"/>
  <c r="F54" i="20" s="1"/>
  <c r="E46" i="20"/>
  <c r="D46" i="20"/>
  <c r="P46" i="20" s="1"/>
  <c r="O45" i="20"/>
  <c r="N45" i="20"/>
  <c r="N54" i="20" s="1"/>
  <c r="N80" i="20" s="1"/>
  <c r="M45" i="20"/>
  <c r="L45" i="20"/>
  <c r="K45" i="20"/>
  <c r="J45" i="20"/>
  <c r="I45" i="20"/>
  <c r="I54" i="20" s="1"/>
  <c r="H45" i="20"/>
  <c r="G45" i="20"/>
  <c r="F45" i="20"/>
  <c r="E45" i="20"/>
  <c r="E54" i="20" s="1"/>
  <c r="D45" i="20"/>
  <c r="D54" i="20" s="1"/>
  <c r="O44" i="20"/>
  <c r="N44" i="20"/>
  <c r="M44" i="20"/>
  <c r="K44" i="20"/>
  <c r="O43" i="20"/>
  <c r="N43" i="20"/>
  <c r="M43" i="20"/>
  <c r="L43" i="20"/>
  <c r="L44" i="20" s="1"/>
  <c r="K43" i="20"/>
  <c r="J43" i="20"/>
  <c r="J44" i="20" s="1"/>
  <c r="H43" i="20"/>
  <c r="H44" i="20" s="1"/>
  <c r="B43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P42" i="20" s="1"/>
  <c r="O41" i="20"/>
  <c r="N41" i="20"/>
  <c r="M41" i="20"/>
  <c r="L41" i="20"/>
  <c r="K41" i="20"/>
  <c r="J41" i="20"/>
  <c r="I41" i="20"/>
  <c r="H41" i="20"/>
  <c r="G41" i="20"/>
  <c r="F41" i="20"/>
  <c r="E41" i="20"/>
  <c r="P41" i="20" s="1"/>
  <c r="D41" i="20"/>
  <c r="P40" i="20"/>
  <c r="P43" i="20" s="1"/>
  <c r="P44" i="20" s="1"/>
  <c r="O40" i="20"/>
  <c r="N40" i="20"/>
  <c r="M40" i="20"/>
  <c r="L40" i="20"/>
  <c r="K40" i="20"/>
  <c r="J40" i="20"/>
  <c r="I40" i="20"/>
  <c r="I43" i="20" s="1"/>
  <c r="I44" i="20" s="1"/>
  <c r="H40" i="20"/>
  <c r="G40" i="20"/>
  <c r="G43" i="20" s="1"/>
  <c r="G44" i="20" s="1"/>
  <c r="F40" i="20"/>
  <c r="F43" i="20" s="1"/>
  <c r="F44" i="20" s="1"/>
  <c r="E40" i="20"/>
  <c r="E43" i="20" s="1"/>
  <c r="E44" i="20" s="1"/>
  <c r="D40" i="20"/>
  <c r="D43" i="20" s="1"/>
  <c r="D44" i="20" s="1"/>
  <c r="M36" i="20"/>
  <c r="L36" i="20"/>
  <c r="K36" i="20"/>
  <c r="J36" i="20"/>
  <c r="I36" i="20"/>
  <c r="G36" i="20"/>
  <c r="B36" i="20"/>
  <c r="O35" i="20"/>
  <c r="N35" i="20"/>
  <c r="M35" i="20"/>
  <c r="L35" i="20"/>
  <c r="K35" i="20"/>
  <c r="J35" i="20"/>
  <c r="I35" i="20"/>
  <c r="H35" i="20"/>
  <c r="G35" i="20"/>
  <c r="F35" i="20"/>
  <c r="E35" i="20"/>
  <c r="P35" i="20" s="1"/>
  <c r="D35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P34" i="20" s="1"/>
  <c r="O33" i="20"/>
  <c r="O36" i="20" s="1"/>
  <c r="N33" i="20"/>
  <c r="N36" i="20" s="1"/>
  <c r="M33" i="20"/>
  <c r="L33" i="20"/>
  <c r="K33" i="20"/>
  <c r="J33" i="20"/>
  <c r="I33" i="20"/>
  <c r="H33" i="20"/>
  <c r="H36" i="20" s="1"/>
  <c r="G33" i="20"/>
  <c r="F33" i="20"/>
  <c r="F36" i="20" s="1"/>
  <c r="E33" i="20"/>
  <c r="E36" i="20" s="1"/>
  <c r="D33" i="20"/>
  <c r="D36" i="20" s="1"/>
  <c r="O32" i="20"/>
  <c r="N32" i="20"/>
  <c r="L32" i="20"/>
  <c r="K32" i="20"/>
  <c r="H32" i="20"/>
  <c r="G32" i="20"/>
  <c r="B32" i="20"/>
  <c r="O31" i="20"/>
  <c r="N31" i="20"/>
  <c r="M31" i="20"/>
  <c r="M32" i="20" s="1"/>
  <c r="L31" i="20"/>
  <c r="K31" i="20"/>
  <c r="J31" i="20"/>
  <c r="J32" i="20" s="1"/>
  <c r="I31" i="20"/>
  <c r="I32" i="20" s="1"/>
  <c r="H31" i="20"/>
  <c r="G31" i="20"/>
  <c r="F31" i="20"/>
  <c r="F32" i="20" s="1"/>
  <c r="E31" i="20"/>
  <c r="E32" i="20" s="1"/>
  <c r="D31" i="20"/>
  <c r="D32" i="20" s="1"/>
  <c r="M30" i="20"/>
  <c r="K30" i="20"/>
  <c r="J30" i="20"/>
  <c r="I30" i="20"/>
  <c r="G30" i="20"/>
  <c r="B30" i="20"/>
  <c r="O29" i="20"/>
  <c r="N29" i="20"/>
  <c r="M29" i="20"/>
  <c r="L29" i="20"/>
  <c r="K29" i="20"/>
  <c r="J29" i="20"/>
  <c r="I29" i="20"/>
  <c r="H29" i="20"/>
  <c r="G29" i="20"/>
  <c r="F29" i="20"/>
  <c r="E29" i="20"/>
  <c r="P29" i="20" s="1"/>
  <c r="D29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P28" i="20" s="1"/>
  <c r="O27" i="20"/>
  <c r="N27" i="20"/>
  <c r="M27" i="20"/>
  <c r="L27" i="20"/>
  <c r="K27" i="20"/>
  <c r="J27" i="20"/>
  <c r="I27" i="20"/>
  <c r="H27" i="20"/>
  <c r="G27" i="20"/>
  <c r="F27" i="20"/>
  <c r="F30" i="20" s="1"/>
  <c r="E27" i="20"/>
  <c r="E30" i="20" s="1"/>
  <c r="D27" i="20"/>
  <c r="D30" i="20" s="1"/>
  <c r="P30" i="20" s="1"/>
  <c r="O26" i="20"/>
  <c r="O30" i="20" s="1"/>
  <c r="N26" i="20"/>
  <c r="N30" i="20" s="1"/>
  <c r="M26" i="20"/>
  <c r="L26" i="20"/>
  <c r="L30" i="20" s="1"/>
  <c r="L37" i="20" s="1"/>
  <c r="K26" i="20"/>
  <c r="J26" i="20"/>
  <c r="I26" i="20"/>
  <c r="H26" i="20"/>
  <c r="H30" i="20" s="1"/>
  <c r="G26" i="20"/>
  <c r="F26" i="20"/>
  <c r="E26" i="20"/>
  <c r="D26" i="20"/>
  <c r="O25" i="20"/>
  <c r="O37" i="20" s="1"/>
  <c r="M25" i="20"/>
  <c r="L25" i="20"/>
  <c r="K25" i="20"/>
  <c r="K37" i="20" s="1"/>
  <c r="I25" i="20"/>
  <c r="I37" i="20" s="1"/>
  <c r="B25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P24" i="20" s="1"/>
  <c r="O23" i="20"/>
  <c r="N23" i="20"/>
  <c r="M23" i="20"/>
  <c r="L23" i="20"/>
  <c r="K23" i="20"/>
  <c r="J23" i="20"/>
  <c r="I23" i="20"/>
  <c r="H23" i="20"/>
  <c r="G23" i="20"/>
  <c r="F23" i="20"/>
  <c r="E23" i="20"/>
  <c r="D23" i="20"/>
  <c r="P23" i="20" s="1"/>
  <c r="O22" i="20"/>
  <c r="N22" i="20"/>
  <c r="M22" i="20"/>
  <c r="L22" i="20"/>
  <c r="K22" i="20"/>
  <c r="J22" i="20"/>
  <c r="I22" i="20"/>
  <c r="H22" i="20"/>
  <c r="H25" i="20" s="1"/>
  <c r="G22" i="20"/>
  <c r="G25" i="20" s="1"/>
  <c r="G37" i="20" s="1"/>
  <c r="F22" i="20"/>
  <c r="F25" i="20" s="1"/>
  <c r="F37" i="20" s="1"/>
  <c r="E22" i="20"/>
  <c r="D22" i="20"/>
  <c r="P22" i="20" s="1"/>
  <c r="O21" i="20"/>
  <c r="N21" i="20"/>
  <c r="P21" i="20" s="1"/>
  <c r="M21" i="20"/>
  <c r="L21" i="20"/>
  <c r="K21" i="20"/>
  <c r="J21" i="20"/>
  <c r="J25" i="20" s="1"/>
  <c r="I21" i="20"/>
  <c r="H21" i="20"/>
  <c r="G21" i="20"/>
  <c r="F21" i="20"/>
  <c r="E21" i="20"/>
  <c r="E25" i="20" s="1"/>
  <c r="D21" i="20"/>
  <c r="D25" i="20" s="1"/>
  <c r="N20" i="20"/>
  <c r="M20" i="20"/>
  <c r="K20" i="20"/>
  <c r="N19" i="20"/>
  <c r="M19" i="20"/>
  <c r="L19" i="20"/>
  <c r="L20" i="20" s="1"/>
  <c r="K19" i="20"/>
  <c r="J19" i="20"/>
  <c r="J20" i="20" s="1"/>
  <c r="H19" i="20"/>
  <c r="H20" i="20" s="1"/>
  <c r="B19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P18" i="20" s="1"/>
  <c r="O17" i="20"/>
  <c r="N17" i="20"/>
  <c r="M17" i="20"/>
  <c r="L17" i="20"/>
  <c r="K17" i="20"/>
  <c r="J17" i="20"/>
  <c r="I17" i="20"/>
  <c r="H17" i="20"/>
  <c r="G17" i="20"/>
  <c r="F17" i="20"/>
  <c r="E17" i="20"/>
  <c r="P17" i="20" s="1"/>
  <c r="D17" i="20"/>
  <c r="P16" i="20"/>
  <c r="O16" i="20"/>
  <c r="O19" i="20" s="1"/>
  <c r="O20" i="20" s="1"/>
  <c r="N16" i="20"/>
  <c r="M16" i="20"/>
  <c r="L16" i="20"/>
  <c r="K16" i="20"/>
  <c r="J16" i="20"/>
  <c r="I16" i="20"/>
  <c r="I19" i="20" s="1"/>
  <c r="I20" i="20" s="1"/>
  <c r="H16" i="20"/>
  <c r="G16" i="20"/>
  <c r="G19" i="20" s="1"/>
  <c r="G20" i="20" s="1"/>
  <c r="F16" i="20"/>
  <c r="F19" i="20" s="1"/>
  <c r="F20" i="20" s="1"/>
  <c r="E16" i="20"/>
  <c r="E19" i="20" s="1"/>
  <c r="E20" i="20" s="1"/>
  <c r="D16" i="20"/>
  <c r="D19" i="20" s="1"/>
  <c r="O14" i="20"/>
  <c r="N14" i="20"/>
  <c r="M14" i="20"/>
  <c r="L14" i="20"/>
  <c r="J14" i="20"/>
  <c r="B14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P13" i="20" s="1"/>
  <c r="O12" i="20"/>
  <c r="N12" i="20"/>
  <c r="M12" i="20"/>
  <c r="L12" i="20"/>
  <c r="K12" i="20"/>
  <c r="J12" i="20"/>
  <c r="I12" i="20"/>
  <c r="H12" i="20"/>
  <c r="G12" i="20"/>
  <c r="F12" i="20"/>
  <c r="E12" i="20"/>
  <c r="P12" i="20" s="1"/>
  <c r="D12" i="20"/>
  <c r="O11" i="20"/>
  <c r="N11" i="20"/>
  <c r="M11" i="20"/>
  <c r="L11" i="20"/>
  <c r="K11" i="20"/>
  <c r="K14" i="20" s="1"/>
  <c r="J11" i="20"/>
  <c r="I11" i="20"/>
  <c r="I14" i="20" s="1"/>
  <c r="H11" i="20"/>
  <c r="H14" i="20" s="1"/>
  <c r="G11" i="20"/>
  <c r="G14" i="20" s="1"/>
  <c r="F11" i="20"/>
  <c r="F14" i="20" s="1"/>
  <c r="E11" i="20"/>
  <c r="E14" i="20" s="1"/>
  <c r="D11" i="20"/>
  <c r="P11" i="20" s="1"/>
  <c r="O10" i="20"/>
  <c r="O15" i="20" s="1"/>
  <c r="E10" i="20"/>
  <c r="E15" i="20" s="1"/>
  <c r="D10" i="20"/>
  <c r="B10" i="20"/>
  <c r="O9" i="20"/>
  <c r="N9" i="20"/>
  <c r="M9" i="20"/>
  <c r="P9" i="20" s="1"/>
  <c r="L9" i="20"/>
  <c r="K9" i="20"/>
  <c r="J9" i="20"/>
  <c r="I9" i="20"/>
  <c r="H9" i="20"/>
  <c r="G9" i="20"/>
  <c r="F9" i="20"/>
  <c r="E9" i="20"/>
  <c r="D9" i="20"/>
  <c r="O8" i="20"/>
  <c r="N8" i="20"/>
  <c r="M8" i="20"/>
  <c r="L8" i="20"/>
  <c r="K8" i="20"/>
  <c r="J8" i="20"/>
  <c r="P8" i="20" s="1"/>
  <c r="I8" i="20"/>
  <c r="H8" i="20"/>
  <c r="H10" i="20" s="1"/>
  <c r="G8" i="20"/>
  <c r="F8" i="20"/>
  <c r="E8" i="20"/>
  <c r="D8" i="20"/>
  <c r="O7" i="20"/>
  <c r="N7" i="20"/>
  <c r="N10" i="20" s="1"/>
  <c r="N15" i="20" s="1"/>
  <c r="M7" i="20"/>
  <c r="M10" i="20" s="1"/>
  <c r="M15" i="20" s="1"/>
  <c r="L7" i="20"/>
  <c r="L10" i="20" s="1"/>
  <c r="L15" i="20" s="1"/>
  <c r="K7" i="20"/>
  <c r="K10" i="20" s="1"/>
  <c r="K15" i="20" s="1"/>
  <c r="J7" i="20"/>
  <c r="J10" i="20" s="1"/>
  <c r="J15" i="20" s="1"/>
  <c r="I7" i="20"/>
  <c r="I10" i="20" s="1"/>
  <c r="I15" i="20" s="1"/>
  <c r="H7" i="20"/>
  <c r="G7" i="20"/>
  <c r="G10" i="20" s="1"/>
  <c r="G15" i="20" s="1"/>
  <c r="G38" i="20" s="1"/>
  <c r="F7" i="20"/>
  <c r="F10" i="20" s="1"/>
  <c r="E7" i="20"/>
  <c r="D7" i="20"/>
  <c r="P7" i="20" s="1"/>
  <c r="O5" i="20"/>
  <c r="N5" i="20"/>
  <c r="M5" i="20"/>
  <c r="L5" i="20"/>
  <c r="K5" i="20"/>
  <c r="J5" i="20"/>
  <c r="I5" i="20"/>
  <c r="H5" i="20"/>
  <c r="G5" i="20"/>
  <c r="F5" i="20"/>
  <c r="E5" i="20"/>
  <c r="D5" i="20"/>
  <c r="B5" i="20"/>
  <c r="H193" i="19"/>
  <c r="F193" i="19"/>
  <c r="E193" i="19"/>
  <c r="O192" i="19"/>
  <c r="O193" i="19" s="1"/>
  <c r="N192" i="19"/>
  <c r="N193" i="19" s="1"/>
  <c r="H192" i="19"/>
  <c r="F192" i="19"/>
  <c r="E192" i="19"/>
  <c r="B192" i="19"/>
  <c r="O191" i="19"/>
  <c r="N191" i="19"/>
  <c r="M191" i="19"/>
  <c r="L191" i="19"/>
  <c r="P191" i="19" s="1"/>
  <c r="K191" i="19"/>
  <c r="J191" i="19"/>
  <c r="I191" i="19"/>
  <c r="H191" i="19"/>
  <c r="G191" i="19"/>
  <c r="G192" i="19" s="1"/>
  <c r="G193" i="19" s="1"/>
  <c r="F191" i="19"/>
  <c r="E191" i="19"/>
  <c r="D191" i="19"/>
  <c r="O190" i="19"/>
  <c r="N190" i="19"/>
  <c r="M190" i="19"/>
  <c r="M192" i="19" s="1"/>
  <c r="M193" i="19" s="1"/>
  <c r="L190" i="19"/>
  <c r="L192" i="19" s="1"/>
  <c r="L193" i="19" s="1"/>
  <c r="K190" i="19"/>
  <c r="K192" i="19" s="1"/>
  <c r="K193" i="19" s="1"/>
  <c r="J190" i="19"/>
  <c r="J192" i="19" s="1"/>
  <c r="J193" i="19" s="1"/>
  <c r="I190" i="19"/>
  <c r="I192" i="19" s="1"/>
  <c r="I193" i="19" s="1"/>
  <c r="H190" i="19"/>
  <c r="G190" i="19"/>
  <c r="F190" i="19"/>
  <c r="E190" i="19"/>
  <c r="D190" i="19"/>
  <c r="P190" i="19" s="1"/>
  <c r="N184" i="19"/>
  <c r="N185" i="19" s="1"/>
  <c r="M184" i="19"/>
  <c r="M185" i="19" s="1"/>
  <c r="B184" i="19"/>
  <c r="O183" i="19"/>
  <c r="N183" i="19"/>
  <c r="M183" i="19"/>
  <c r="L183" i="19"/>
  <c r="K183" i="19"/>
  <c r="P183" i="19" s="1"/>
  <c r="J183" i="19"/>
  <c r="I183" i="19"/>
  <c r="H183" i="19"/>
  <c r="G183" i="19"/>
  <c r="F183" i="19"/>
  <c r="E183" i="19"/>
  <c r="D183" i="19"/>
  <c r="O182" i="19"/>
  <c r="N182" i="19"/>
  <c r="M182" i="19"/>
  <c r="L182" i="19"/>
  <c r="K182" i="19"/>
  <c r="J182" i="19"/>
  <c r="I182" i="19"/>
  <c r="H182" i="19"/>
  <c r="P182" i="19" s="1"/>
  <c r="G182" i="19"/>
  <c r="F182" i="19"/>
  <c r="E182" i="19"/>
  <c r="D182" i="19"/>
  <c r="O181" i="19"/>
  <c r="N181" i="19"/>
  <c r="M181" i="19"/>
  <c r="L181" i="19"/>
  <c r="K181" i="19"/>
  <c r="J181" i="19"/>
  <c r="I181" i="19"/>
  <c r="H181" i="19"/>
  <c r="H184" i="19" s="1"/>
  <c r="H185" i="19" s="1"/>
  <c r="G181" i="19"/>
  <c r="F181" i="19"/>
  <c r="E181" i="19"/>
  <c r="P181" i="19" s="1"/>
  <c r="D181" i="19"/>
  <c r="O180" i="19"/>
  <c r="N180" i="19"/>
  <c r="M180" i="19"/>
  <c r="L180" i="19"/>
  <c r="K180" i="19"/>
  <c r="J180" i="19"/>
  <c r="I180" i="19"/>
  <c r="H180" i="19"/>
  <c r="G180" i="19"/>
  <c r="F180" i="19"/>
  <c r="E180" i="19"/>
  <c r="D180" i="19"/>
  <c r="P180" i="19" s="1"/>
  <c r="O179" i="19"/>
  <c r="P179" i="19" s="1"/>
  <c r="P184" i="19" s="1"/>
  <c r="P185" i="19" s="1"/>
  <c r="N179" i="19"/>
  <c r="M179" i="19"/>
  <c r="L179" i="19"/>
  <c r="L184" i="19" s="1"/>
  <c r="L185" i="19" s="1"/>
  <c r="K179" i="19"/>
  <c r="K184" i="19" s="1"/>
  <c r="K185" i="19" s="1"/>
  <c r="J179" i="19"/>
  <c r="J184" i="19" s="1"/>
  <c r="J185" i="19" s="1"/>
  <c r="I179" i="19"/>
  <c r="I184" i="19" s="1"/>
  <c r="I185" i="19" s="1"/>
  <c r="H179" i="19"/>
  <c r="G179" i="19"/>
  <c r="G184" i="19" s="1"/>
  <c r="G185" i="19" s="1"/>
  <c r="F179" i="19"/>
  <c r="F184" i="19" s="1"/>
  <c r="F185" i="19" s="1"/>
  <c r="E179" i="19"/>
  <c r="E184" i="19" s="1"/>
  <c r="E185" i="19" s="1"/>
  <c r="D179" i="19"/>
  <c r="D184" i="19" s="1"/>
  <c r="D185" i="19" s="1"/>
  <c r="N178" i="19"/>
  <c r="N186" i="19" s="1"/>
  <c r="M178" i="19"/>
  <c r="L178" i="19"/>
  <c r="N177" i="19"/>
  <c r="M177" i="19"/>
  <c r="L177" i="19"/>
  <c r="K177" i="19"/>
  <c r="K178" i="19" s="1"/>
  <c r="J177" i="19"/>
  <c r="J178" i="19" s="1"/>
  <c r="I177" i="19"/>
  <c r="I178" i="19" s="1"/>
  <c r="B177" i="19"/>
  <c r="O176" i="19"/>
  <c r="N176" i="19"/>
  <c r="M176" i="19"/>
  <c r="L176" i="19"/>
  <c r="K176" i="19"/>
  <c r="J176" i="19"/>
  <c r="I176" i="19"/>
  <c r="H176" i="19"/>
  <c r="G176" i="19"/>
  <c r="P176" i="19" s="1"/>
  <c r="F176" i="19"/>
  <c r="E176" i="19"/>
  <c r="D176" i="19"/>
  <c r="O175" i="19"/>
  <c r="O177" i="19" s="1"/>
  <c r="O178" i="19" s="1"/>
  <c r="N175" i="19"/>
  <c r="M175" i="19"/>
  <c r="L175" i="19"/>
  <c r="K175" i="19"/>
  <c r="J175" i="19"/>
  <c r="I175" i="19"/>
  <c r="H175" i="19"/>
  <c r="G175" i="19"/>
  <c r="F175" i="19"/>
  <c r="E175" i="19"/>
  <c r="D175" i="19"/>
  <c r="P175" i="19" s="1"/>
  <c r="O174" i="19"/>
  <c r="N174" i="19"/>
  <c r="M174" i="19"/>
  <c r="L174" i="19"/>
  <c r="K174" i="19"/>
  <c r="J174" i="19"/>
  <c r="I174" i="19"/>
  <c r="H174" i="19"/>
  <c r="H177" i="19" s="1"/>
  <c r="H178" i="19" s="1"/>
  <c r="H186" i="19" s="1"/>
  <c r="G174" i="19"/>
  <c r="G177" i="19" s="1"/>
  <c r="G178" i="19" s="1"/>
  <c r="F174" i="19"/>
  <c r="F177" i="19" s="1"/>
  <c r="F178" i="19" s="1"/>
  <c r="F186" i="19" s="1"/>
  <c r="E174" i="19"/>
  <c r="E177" i="19" s="1"/>
  <c r="E178" i="19" s="1"/>
  <c r="D174" i="19"/>
  <c r="P174" i="19" s="1"/>
  <c r="P177" i="19" s="1"/>
  <c r="P178" i="19" s="1"/>
  <c r="P186" i="19" s="1"/>
  <c r="O168" i="19"/>
  <c r="M168" i="19"/>
  <c r="L168" i="19"/>
  <c r="J168" i="19"/>
  <c r="I168" i="19"/>
  <c r="H168" i="19"/>
  <c r="G168" i="19"/>
  <c r="F168" i="19"/>
  <c r="E168" i="19"/>
  <c r="B168" i="19"/>
  <c r="O167" i="19"/>
  <c r="N167" i="19"/>
  <c r="M167" i="19"/>
  <c r="L167" i="19"/>
  <c r="K167" i="19"/>
  <c r="J167" i="19"/>
  <c r="I167" i="19"/>
  <c r="H167" i="19"/>
  <c r="G167" i="19"/>
  <c r="F167" i="19"/>
  <c r="E167" i="19"/>
  <c r="D167" i="19"/>
  <c r="P167" i="19" s="1"/>
  <c r="P166" i="19"/>
  <c r="P168" i="19" s="1"/>
  <c r="O166" i="19"/>
  <c r="N166" i="19"/>
  <c r="N168" i="19" s="1"/>
  <c r="M166" i="19"/>
  <c r="L166" i="19"/>
  <c r="K166" i="19"/>
  <c r="K168" i="19" s="1"/>
  <c r="J166" i="19"/>
  <c r="I166" i="19"/>
  <c r="H166" i="19"/>
  <c r="G166" i="19"/>
  <c r="F166" i="19"/>
  <c r="E166" i="19"/>
  <c r="D166" i="19"/>
  <c r="D168" i="19" s="1"/>
  <c r="N165" i="19"/>
  <c r="M165" i="19"/>
  <c r="B165" i="19"/>
  <c r="O164" i="19"/>
  <c r="N164" i="19"/>
  <c r="M164" i="19"/>
  <c r="L164" i="19"/>
  <c r="K164" i="19"/>
  <c r="P164" i="19" s="1"/>
  <c r="J164" i="19"/>
  <c r="I164" i="19"/>
  <c r="H164" i="19"/>
  <c r="G164" i="19"/>
  <c r="F164" i="19"/>
  <c r="E164" i="19"/>
  <c r="D164" i="19"/>
  <c r="O163" i="19"/>
  <c r="N163" i="19"/>
  <c r="M163" i="19"/>
  <c r="L163" i="19"/>
  <c r="K163" i="19"/>
  <c r="J163" i="19"/>
  <c r="I163" i="19"/>
  <c r="H163" i="19"/>
  <c r="P163" i="19" s="1"/>
  <c r="G163" i="19"/>
  <c r="F163" i="19"/>
  <c r="E163" i="19"/>
  <c r="D163" i="19"/>
  <c r="O162" i="19"/>
  <c r="N162" i="19"/>
  <c r="M162" i="19"/>
  <c r="L162" i="19"/>
  <c r="K162" i="19"/>
  <c r="K165" i="19" s="1"/>
  <c r="J162" i="19"/>
  <c r="I162" i="19"/>
  <c r="H162" i="19"/>
  <c r="H165" i="19" s="1"/>
  <c r="G162" i="19"/>
  <c r="F162" i="19"/>
  <c r="E162" i="19"/>
  <c r="P162" i="19" s="1"/>
  <c r="D162" i="19"/>
  <c r="O161" i="19"/>
  <c r="N161" i="19"/>
  <c r="M161" i="19"/>
  <c r="L161" i="19"/>
  <c r="K161" i="19"/>
  <c r="J161" i="19"/>
  <c r="I161" i="19"/>
  <c r="H161" i="19"/>
  <c r="G161" i="19"/>
  <c r="F161" i="19"/>
  <c r="E161" i="19"/>
  <c r="D161" i="19"/>
  <c r="P161" i="19" s="1"/>
  <c r="O160" i="19"/>
  <c r="P160" i="19" s="1"/>
  <c r="N160" i="19"/>
  <c r="M160" i="19"/>
  <c r="L160" i="19"/>
  <c r="K160" i="19"/>
  <c r="J160" i="19"/>
  <c r="I160" i="19"/>
  <c r="H160" i="19"/>
  <c r="G160" i="19"/>
  <c r="F160" i="19"/>
  <c r="E160" i="19"/>
  <c r="E165" i="19" s="1"/>
  <c r="D160" i="19"/>
  <c r="O159" i="19"/>
  <c r="O165" i="19" s="1"/>
  <c r="N159" i="19"/>
  <c r="M159" i="19"/>
  <c r="L159" i="19"/>
  <c r="L165" i="19" s="1"/>
  <c r="K159" i="19"/>
  <c r="J159" i="19"/>
  <c r="J165" i="19" s="1"/>
  <c r="I159" i="19"/>
  <c r="I165" i="19" s="1"/>
  <c r="H159" i="19"/>
  <c r="G159" i="19"/>
  <c r="G165" i="19" s="1"/>
  <c r="F159" i="19"/>
  <c r="F165" i="19" s="1"/>
  <c r="E159" i="19"/>
  <c r="D159" i="19"/>
  <c r="D165" i="19" s="1"/>
  <c r="N158" i="19"/>
  <c r="M158" i="19"/>
  <c r="L158" i="19"/>
  <c r="J158" i="19"/>
  <c r="I158" i="19"/>
  <c r="B158" i="19"/>
  <c r="O157" i="19"/>
  <c r="N157" i="19"/>
  <c r="M157" i="19"/>
  <c r="L157" i="19"/>
  <c r="K157" i="19"/>
  <c r="K158" i="19" s="1"/>
  <c r="J157" i="19"/>
  <c r="I157" i="19"/>
  <c r="H157" i="19"/>
  <c r="G157" i="19"/>
  <c r="F157" i="19"/>
  <c r="E157" i="19"/>
  <c r="P157" i="19" s="1"/>
  <c r="D157" i="19"/>
  <c r="O156" i="19"/>
  <c r="O158" i="19" s="1"/>
  <c r="N156" i="19"/>
  <c r="M156" i="19"/>
  <c r="L156" i="19"/>
  <c r="K156" i="19"/>
  <c r="J156" i="19"/>
  <c r="I156" i="19"/>
  <c r="H156" i="19"/>
  <c r="H158" i="19" s="1"/>
  <c r="G156" i="19"/>
  <c r="G158" i="19" s="1"/>
  <c r="F156" i="19"/>
  <c r="F158" i="19" s="1"/>
  <c r="E156" i="19"/>
  <c r="E158" i="19" s="1"/>
  <c r="D156" i="19"/>
  <c r="P156" i="19" s="1"/>
  <c r="B155" i="19"/>
  <c r="O154" i="19"/>
  <c r="P154" i="19" s="1"/>
  <c r="N154" i="19"/>
  <c r="M154" i="19"/>
  <c r="L154" i="19"/>
  <c r="K154" i="19"/>
  <c r="J154" i="19"/>
  <c r="I154" i="19"/>
  <c r="H154" i="19"/>
  <c r="G154" i="19"/>
  <c r="F154" i="19"/>
  <c r="E154" i="19"/>
  <c r="D154" i="19"/>
  <c r="O153" i="19"/>
  <c r="N153" i="19"/>
  <c r="M153" i="19"/>
  <c r="L153" i="19"/>
  <c r="P153" i="19" s="1"/>
  <c r="K153" i="19"/>
  <c r="J153" i="19"/>
  <c r="I153" i="19"/>
  <c r="H153" i="19"/>
  <c r="G153" i="19"/>
  <c r="F153" i="19"/>
  <c r="E153" i="19"/>
  <c r="D153" i="19"/>
  <c r="O152" i="19"/>
  <c r="N152" i="19"/>
  <c r="M152" i="19"/>
  <c r="L152" i="19"/>
  <c r="K152" i="19"/>
  <c r="J152" i="19"/>
  <c r="I152" i="19"/>
  <c r="H152" i="19"/>
  <c r="G152" i="19"/>
  <c r="F152" i="19"/>
  <c r="E152" i="19"/>
  <c r="D152" i="19"/>
  <c r="P152" i="19" s="1"/>
  <c r="O151" i="19"/>
  <c r="N151" i="19"/>
  <c r="M151" i="19"/>
  <c r="L151" i="19"/>
  <c r="K151" i="19"/>
  <c r="J151" i="19"/>
  <c r="I151" i="19"/>
  <c r="H151" i="19"/>
  <c r="G151" i="19"/>
  <c r="F151" i="19"/>
  <c r="E151" i="19"/>
  <c r="D151" i="19"/>
  <c r="P151" i="19" s="1"/>
  <c r="O150" i="19"/>
  <c r="N150" i="19"/>
  <c r="M150" i="19"/>
  <c r="L150" i="19"/>
  <c r="K150" i="19"/>
  <c r="J150" i="19"/>
  <c r="I150" i="19"/>
  <c r="H150" i="19"/>
  <c r="G150" i="19"/>
  <c r="F150" i="19"/>
  <c r="E150" i="19"/>
  <c r="D150" i="19"/>
  <c r="P150" i="19" s="1"/>
  <c r="P149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O148" i="19"/>
  <c r="N148" i="19"/>
  <c r="M148" i="19"/>
  <c r="P148" i="19" s="1"/>
  <c r="L148" i="19"/>
  <c r="K148" i="19"/>
  <c r="J148" i="19"/>
  <c r="I148" i="19"/>
  <c r="H148" i="19"/>
  <c r="G148" i="19"/>
  <c r="F148" i="19"/>
  <c r="E148" i="19"/>
  <c r="D148" i="19"/>
  <c r="O147" i="19"/>
  <c r="N147" i="19"/>
  <c r="M147" i="19"/>
  <c r="L147" i="19"/>
  <c r="K147" i="19"/>
  <c r="J147" i="19"/>
  <c r="I147" i="19"/>
  <c r="H147" i="19"/>
  <c r="G147" i="19"/>
  <c r="F147" i="19"/>
  <c r="E147" i="19"/>
  <c r="P147" i="19" s="1"/>
  <c r="D147" i="19"/>
  <c r="O146" i="19"/>
  <c r="N146" i="19"/>
  <c r="M146" i="19"/>
  <c r="L146" i="19"/>
  <c r="K146" i="19"/>
  <c r="J146" i="19"/>
  <c r="I146" i="19"/>
  <c r="H146" i="19"/>
  <c r="G146" i="19"/>
  <c r="F146" i="19"/>
  <c r="E146" i="19"/>
  <c r="P146" i="19" s="1"/>
  <c r="D146" i="19"/>
  <c r="O145" i="19"/>
  <c r="N145" i="19"/>
  <c r="M145" i="19"/>
  <c r="L145" i="19"/>
  <c r="K145" i="19"/>
  <c r="J145" i="19"/>
  <c r="I145" i="19"/>
  <c r="H145" i="19"/>
  <c r="G145" i="19"/>
  <c r="F145" i="19"/>
  <c r="E145" i="19"/>
  <c r="D145" i="19"/>
  <c r="P145" i="19" s="1"/>
  <c r="O144" i="19"/>
  <c r="O155" i="19" s="1"/>
  <c r="N144" i="19"/>
  <c r="N155" i="19" s="1"/>
  <c r="M144" i="19"/>
  <c r="M155" i="19" s="1"/>
  <c r="L144" i="19"/>
  <c r="L155" i="19" s="1"/>
  <c r="K144" i="19"/>
  <c r="K155" i="19" s="1"/>
  <c r="J144" i="19"/>
  <c r="J155" i="19" s="1"/>
  <c r="I144" i="19"/>
  <c r="I155" i="19" s="1"/>
  <c r="H144" i="19"/>
  <c r="H155" i="19" s="1"/>
  <c r="G144" i="19"/>
  <c r="G155" i="19" s="1"/>
  <c r="F144" i="19"/>
  <c r="F155" i="19" s="1"/>
  <c r="E144" i="19"/>
  <c r="E155" i="19" s="1"/>
  <c r="D144" i="19"/>
  <c r="P144" i="19" s="1"/>
  <c r="P155" i="19" s="1"/>
  <c r="O143" i="19"/>
  <c r="N143" i="19"/>
  <c r="H143" i="19"/>
  <c r="F143" i="19"/>
  <c r="E143" i="19"/>
  <c r="B143" i="19"/>
  <c r="O142" i="19"/>
  <c r="N142" i="19"/>
  <c r="M142" i="19"/>
  <c r="L142" i="19"/>
  <c r="P142" i="19" s="1"/>
  <c r="K142" i="19"/>
  <c r="J142" i="19"/>
  <c r="I142" i="19"/>
  <c r="H142" i="19"/>
  <c r="G142" i="19"/>
  <c r="F142" i="19"/>
  <c r="E142" i="19"/>
  <c r="D142" i="19"/>
  <c r="O141" i="19"/>
  <c r="N141" i="19"/>
  <c r="M141" i="19"/>
  <c r="M143" i="19" s="1"/>
  <c r="L141" i="19"/>
  <c r="L143" i="19" s="1"/>
  <c r="K141" i="19"/>
  <c r="K143" i="19" s="1"/>
  <c r="J141" i="19"/>
  <c r="J143" i="19" s="1"/>
  <c r="I141" i="19"/>
  <c r="I143" i="19" s="1"/>
  <c r="H141" i="19"/>
  <c r="G141" i="19"/>
  <c r="G143" i="19" s="1"/>
  <c r="F141" i="19"/>
  <c r="E141" i="19"/>
  <c r="D141" i="19"/>
  <c r="P141" i="19" s="1"/>
  <c r="P143" i="19" s="1"/>
  <c r="G140" i="19"/>
  <c r="F140" i="19"/>
  <c r="B140" i="19"/>
  <c r="O139" i="19"/>
  <c r="N139" i="19"/>
  <c r="M139" i="19"/>
  <c r="L139" i="19"/>
  <c r="K139" i="19"/>
  <c r="J139" i="19"/>
  <c r="I139" i="19"/>
  <c r="H139" i="19"/>
  <c r="G139" i="19"/>
  <c r="F139" i="19"/>
  <c r="E139" i="19"/>
  <c r="D139" i="19"/>
  <c r="P139" i="19" s="1"/>
  <c r="O138" i="19"/>
  <c r="N138" i="19"/>
  <c r="M138" i="19"/>
  <c r="L138" i="19"/>
  <c r="K138" i="19"/>
  <c r="J138" i="19"/>
  <c r="I138" i="19"/>
  <c r="H138" i="19"/>
  <c r="G138" i="19"/>
  <c r="F138" i="19"/>
  <c r="E138" i="19"/>
  <c r="D138" i="19"/>
  <c r="P138" i="19" s="1"/>
  <c r="O137" i="19"/>
  <c r="N137" i="19"/>
  <c r="P137" i="19" s="1"/>
  <c r="M137" i="19"/>
  <c r="L137" i="19"/>
  <c r="K137" i="19"/>
  <c r="J137" i="19"/>
  <c r="I137" i="19"/>
  <c r="H137" i="19"/>
  <c r="G137" i="19"/>
  <c r="F137" i="19"/>
  <c r="E137" i="19"/>
  <c r="D137" i="19"/>
  <c r="O136" i="19"/>
  <c r="N136" i="19"/>
  <c r="M136" i="19"/>
  <c r="L136" i="19"/>
  <c r="K136" i="19"/>
  <c r="P136" i="19" s="1"/>
  <c r="J136" i="19"/>
  <c r="I136" i="19"/>
  <c r="H136" i="19"/>
  <c r="G136" i="19"/>
  <c r="F136" i="19"/>
  <c r="E136" i="19"/>
  <c r="D136" i="19"/>
  <c r="O135" i="19"/>
  <c r="N135" i="19"/>
  <c r="N140" i="19" s="1"/>
  <c r="M135" i="19"/>
  <c r="L135" i="19"/>
  <c r="L140" i="19" s="1"/>
  <c r="K135" i="19"/>
  <c r="K140" i="19" s="1"/>
  <c r="J135" i="19"/>
  <c r="I135" i="19"/>
  <c r="I140" i="19" s="1"/>
  <c r="H135" i="19"/>
  <c r="G135" i="19"/>
  <c r="F135" i="19"/>
  <c r="P135" i="19" s="1"/>
  <c r="E135" i="19"/>
  <c r="D135" i="19"/>
  <c r="O134" i="19"/>
  <c r="N134" i="19"/>
  <c r="M134" i="19"/>
  <c r="L134" i="19"/>
  <c r="K134" i="19"/>
  <c r="J134" i="19"/>
  <c r="J140" i="19" s="1"/>
  <c r="I134" i="19"/>
  <c r="H134" i="19"/>
  <c r="H140" i="19" s="1"/>
  <c r="G134" i="19"/>
  <c r="F134" i="19"/>
  <c r="E134" i="19"/>
  <c r="P134" i="19" s="1"/>
  <c r="D134" i="19"/>
  <c r="O133" i="19"/>
  <c r="O140" i="19" s="1"/>
  <c r="N133" i="19"/>
  <c r="M133" i="19"/>
  <c r="M140" i="19" s="1"/>
  <c r="L133" i="19"/>
  <c r="K133" i="19"/>
  <c r="J133" i="19"/>
  <c r="I133" i="19"/>
  <c r="H133" i="19"/>
  <c r="G133" i="19"/>
  <c r="F133" i="19"/>
  <c r="E133" i="19"/>
  <c r="E140" i="19" s="1"/>
  <c r="D133" i="19"/>
  <c r="D140" i="19" s="1"/>
  <c r="O132" i="19"/>
  <c r="F132" i="19"/>
  <c r="D132" i="19"/>
  <c r="B132" i="19"/>
  <c r="O131" i="19"/>
  <c r="N131" i="19"/>
  <c r="M131" i="19"/>
  <c r="P131" i="19" s="1"/>
  <c r="L131" i="19"/>
  <c r="K131" i="19"/>
  <c r="J131" i="19"/>
  <c r="I131" i="19"/>
  <c r="H131" i="19"/>
  <c r="G131" i="19"/>
  <c r="F131" i="19"/>
  <c r="E131" i="19"/>
  <c r="D131" i="19"/>
  <c r="O130" i="19"/>
  <c r="N130" i="19"/>
  <c r="M130" i="19"/>
  <c r="L130" i="19"/>
  <c r="K130" i="19"/>
  <c r="J130" i="19"/>
  <c r="I130" i="19"/>
  <c r="H130" i="19"/>
  <c r="G130" i="19"/>
  <c r="F130" i="19"/>
  <c r="E130" i="19"/>
  <c r="E132" i="19" s="1"/>
  <c r="D130" i="19"/>
  <c r="O129" i="19"/>
  <c r="N129" i="19"/>
  <c r="N132" i="19" s="1"/>
  <c r="M129" i="19"/>
  <c r="M132" i="19" s="1"/>
  <c r="L129" i="19"/>
  <c r="L132" i="19" s="1"/>
  <c r="K129" i="19"/>
  <c r="K132" i="19" s="1"/>
  <c r="J129" i="19"/>
  <c r="J132" i="19" s="1"/>
  <c r="I129" i="19"/>
  <c r="I132" i="19" s="1"/>
  <c r="H129" i="19"/>
  <c r="H132" i="19" s="1"/>
  <c r="G129" i="19"/>
  <c r="G132" i="19" s="1"/>
  <c r="F129" i="19"/>
  <c r="E129" i="19"/>
  <c r="D129" i="19"/>
  <c r="P129" i="19" s="1"/>
  <c r="H128" i="19"/>
  <c r="G128" i="19"/>
  <c r="E128" i="19"/>
  <c r="D128" i="19"/>
  <c r="B128" i="19"/>
  <c r="O127" i="19"/>
  <c r="N127" i="19"/>
  <c r="M127" i="19"/>
  <c r="L127" i="19"/>
  <c r="K127" i="19"/>
  <c r="J127" i="19"/>
  <c r="I127" i="19"/>
  <c r="H127" i="19"/>
  <c r="G127" i="19"/>
  <c r="F127" i="19"/>
  <c r="F128" i="19" s="1"/>
  <c r="E127" i="19"/>
  <c r="D127" i="19"/>
  <c r="P127" i="19" s="1"/>
  <c r="O126" i="19"/>
  <c r="P126" i="19" s="1"/>
  <c r="N126" i="19"/>
  <c r="M126" i="19"/>
  <c r="L126" i="19"/>
  <c r="K126" i="19"/>
  <c r="J126" i="19"/>
  <c r="I126" i="19"/>
  <c r="H126" i="19"/>
  <c r="G126" i="19"/>
  <c r="F126" i="19"/>
  <c r="E126" i="19"/>
  <c r="D126" i="19"/>
  <c r="O125" i="19"/>
  <c r="O128" i="19" s="1"/>
  <c r="N125" i="19"/>
  <c r="M125" i="19"/>
  <c r="L125" i="19"/>
  <c r="P125" i="19" s="1"/>
  <c r="K125" i="19"/>
  <c r="J125" i="19"/>
  <c r="I125" i="19"/>
  <c r="H125" i="19"/>
  <c r="G125" i="19"/>
  <c r="F125" i="19"/>
  <c r="E125" i="19"/>
  <c r="D125" i="19"/>
  <c r="O124" i="19"/>
  <c r="N124" i="19"/>
  <c r="N128" i="19" s="1"/>
  <c r="M124" i="19"/>
  <c r="M128" i="19" s="1"/>
  <c r="L124" i="19"/>
  <c r="L128" i="19" s="1"/>
  <c r="K124" i="19"/>
  <c r="K128" i="19" s="1"/>
  <c r="J124" i="19"/>
  <c r="J128" i="19" s="1"/>
  <c r="I124" i="19"/>
  <c r="I128" i="19" s="1"/>
  <c r="H124" i="19"/>
  <c r="G124" i="19"/>
  <c r="F124" i="19"/>
  <c r="E124" i="19"/>
  <c r="D124" i="19"/>
  <c r="P124" i="19" s="1"/>
  <c r="J123" i="19"/>
  <c r="G123" i="19"/>
  <c r="F123" i="19"/>
  <c r="B123" i="19"/>
  <c r="O122" i="19"/>
  <c r="N122" i="19"/>
  <c r="M122" i="19"/>
  <c r="L122" i="19"/>
  <c r="K122" i="19"/>
  <c r="J122" i="19"/>
  <c r="I122" i="19"/>
  <c r="H122" i="19"/>
  <c r="G122" i="19"/>
  <c r="F122" i="19"/>
  <c r="E122" i="19"/>
  <c r="D122" i="19"/>
  <c r="P122" i="19" s="1"/>
  <c r="O121" i="19"/>
  <c r="N121" i="19"/>
  <c r="M121" i="19"/>
  <c r="L121" i="19"/>
  <c r="K121" i="19"/>
  <c r="J121" i="19"/>
  <c r="I121" i="19"/>
  <c r="H121" i="19"/>
  <c r="G121" i="19"/>
  <c r="F121" i="19"/>
  <c r="E121" i="19"/>
  <c r="D121" i="19"/>
  <c r="P121" i="19" s="1"/>
  <c r="O120" i="19"/>
  <c r="N120" i="19"/>
  <c r="M120" i="19"/>
  <c r="L120" i="19"/>
  <c r="K120" i="19"/>
  <c r="J120" i="19"/>
  <c r="I120" i="19"/>
  <c r="P120" i="19" s="1"/>
  <c r="H120" i="19"/>
  <c r="G120" i="19"/>
  <c r="F120" i="19"/>
  <c r="E120" i="19"/>
  <c r="D120" i="19"/>
  <c r="O119" i="19"/>
  <c r="N119" i="19"/>
  <c r="M119" i="19"/>
  <c r="L119" i="19"/>
  <c r="K119" i="19"/>
  <c r="P119" i="19" s="1"/>
  <c r="J119" i="19"/>
  <c r="I119" i="19"/>
  <c r="H119" i="19"/>
  <c r="G119" i="19"/>
  <c r="F119" i="19"/>
  <c r="E119" i="19"/>
  <c r="D119" i="19"/>
  <c r="O118" i="19"/>
  <c r="N118" i="19"/>
  <c r="M118" i="19"/>
  <c r="M123" i="19" s="1"/>
  <c r="L118" i="19"/>
  <c r="L123" i="19" s="1"/>
  <c r="K118" i="19"/>
  <c r="K123" i="19" s="1"/>
  <c r="J118" i="19"/>
  <c r="I118" i="19"/>
  <c r="H118" i="19"/>
  <c r="G118" i="19"/>
  <c r="F118" i="19"/>
  <c r="E118" i="19"/>
  <c r="D118" i="19"/>
  <c r="P118" i="19" s="1"/>
  <c r="O117" i="19"/>
  <c r="O123" i="19" s="1"/>
  <c r="N117" i="19"/>
  <c r="N123" i="19" s="1"/>
  <c r="M117" i="19"/>
  <c r="L117" i="19"/>
  <c r="K117" i="19"/>
  <c r="J117" i="19"/>
  <c r="I117" i="19"/>
  <c r="I123" i="19" s="1"/>
  <c r="H117" i="19"/>
  <c r="H123" i="19" s="1"/>
  <c r="G117" i="19"/>
  <c r="F117" i="19"/>
  <c r="E117" i="19"/>
  <c r="E123" i="19" s="1"/>
  <c r="D117" i="19"/>
  <c r="D123" i="19" s="1"/>
  <c r="F116" i="19"/>
  <c r="E116" i="19"/>
  <c r="B116" i="19"/>
  <c r="P115" i="19"/>
  <c r="O115" i="19"/>
  <c r="N115" i="19"/>
  <c r="M115" i="19"/>
  <c r="L115" i="19"/>
  <c r="K115" i="19"/>
  <c r="J115" i="19"/>
  <c r="I115" i="19"/>
  <c r="H115" i="19"/>
  <c r="G115" i="19"/>
  <c r="F115" i="19"/>
  <c r="E115" i="19"/>
  <c r="D115" i="19"/>
  <c r="D116" i="19" s="1"/>
  <c r="O114" i="19"/>
  <c r="N114" i="19"/>
  <c r="M114" i="19"/>
  <c r="P114" i="19" s="1"/>
  <c r="L114" i="19"/>
  <c r="K114" i="19"/>
  <c r="J114" i="19"/>
  <c r="I114" i="19"/>
  <c r="H114" i="19"/>
  <c r="G114" i="19"/>
  <c r="F114" i="19"/>
  <c r="E114" i="19"/>
  <c r="D114" i="19"/>
  <c r="O113" i="19"/>
  <c r="O116" i="19" s="1"/>
  <c r="N113" i="19"/>
  <c r="M113" i="19"/>
  <c r="M116" i="19" s="1"/>
  <c r="L113" i="19"/>
  <c r="K113" i="19"/>
  <c r="J113" i="19"/>
  <c r="I113" i="19"/>
  <c r="H113" i="19"/>
  <c r="G113" i="19"/>
  <c r="F113" i="19"/>
  <c r="E113" i="19"/>
  <c r="P113" i="19" s="1"/>
  <c r="D113" i="19"/>
  <c r="O112" i="19"/>
  <c r="N112" i="19"/>
  <c r="N116" i="19" s="1"/>
  <c r="M112" i="19"/>
  <c r="L112" i="19"/>
  <c r="L116" i="19" s="1"/>
  <c r="K112" i="19"/>
  <c r="K116" i="19" s="1"/>
  <c r="J112" i="19"/>
  <c r="J116" i="19" s="1"/>
  <c r="I112" i="19"/>
  <c r="I116" i="19" s="1"/>
  <c r="H112" i="19"/>
  <c r="H116" i="19" s="1"/>
  <c r="G112" i="19"/>
  <c r="G116" i="19" s="1"/>
  <c r="F112" i="19"/>
  <c r="E112" i="19"/>
  <c r="D112" i="19"/>
  <c r="P112" i="19" s="1"/>
  <c r="H111" i="19"/>
  <c r="E111" i="19"/>
  <c r="D111" i="19"/>
  <c r="B111" i="19"/>
  <c r="O110" i="19"/>
  <c r="N110" i="19"/>
  <c r="M110" i="19"/>
  <c r="L110" i="19"/>
  <c r="K110" i="19"/>
  <c r="J110" i="19"/>
  <c r="I110" i="19"/>
  <c r="H110" i="19"/>
  <c r="G110" i="19"/>
  <c r="G111" i="19" s="1"/>
  <c r="F110" i="19"/>
  <c r="F111" i="19" s="1"/>
  <c r="E110" i="19"/>
  <c r="D110" i="19"/>
  <c r="P110" i="19" s="1"/>
  <c r="O109" i="19"/>
  <c r="P109" i="19" s="1"/>
  <c r="N109" i="19"/>
  <c r="M109" i="19"/>
  <c r="L109" i="19"/>
  <c r="K109" i="19"/>
  <c r="J109" i="19"/>
  <c r="I109" i="19"/>
  <c r="H109" i="19"/>
  <c r="G109" i="19"/>
  <c r="F109" i="19"/>
  <c r="E109" i="19"/>
  <c r="D109" i="19"/>
  <c r="O108" i="19"/>
  <c r="O111" i="19" s="1"/>
  <c r="N108" i="19"/>
  <c r="M108" i="19"/>
  <c r="L108" i="19"/>
  <c r="P108" i="19" s="1"/>
  <c r="K108" i="19"/>
  <c r="J108" i="19"/>
  <c r="I108" i="19"/>
  <c r="H108" i="19"/>
  <c r="G108" i="19"/>
  <c r="F108" i="19"/>
  <c r="E108" i="19"/>
  <c r="D108" i="19"/>
  <c r="O107" i="19"/>
  <c r="N107" i="19"/>
  <c r="N111" i="19" s="1"/>
  <c r="M107" i="19"/>
  <c r="M111" i="19" s="1"/>
  <c r="L107" i="19"/>
  <c r="L111" i="19" s="1"/>
  <c r="K107" i="19"/>
  <c r="K111" i="19" s="1"/>
  <c r="J107" i="19"/>
  <c r="J111" i="19" s="1"/>
  <c r="I107" i="19"/>
  <c r="I111" i="19" s="1"/>
  <c r="H107" i="19"/>
  <c r="G107" i="19"/>
  <c r="F107" i="19"/>
  <c r="E107" i="19"/>
  <c r="D107" i="19"/>
  <c r="P107" i="19" s="1"/>
  <c r="P111" i="19" s="1"/>
  <c r="J106" i="19"/>
  <c r="G106" i="19"/>
  <c r="F106" i="19"/>
  <c r="B106" i="19"/>
  <c r="O105" i="19"/>
  <c r="N105" i="19"/>
  <c r="M105" i="19"/>
  <c r="L105" i="19"/>
  <c r="K105" i="19"/>
  <c r="J105" i="19"/>
  <c r="I105" i="19"/>
  <c r="I106" i="19" s="1"/>
  <c r="H105" i="19"/>
  <c r="H106" i="19" s="1"/>
  <c r="G105" i="19"/>
  <c r="F105" i="19"/>
  <c r="E105" i="19"/>
  <c r="D105" i="19"/>
  <c r="P105" i="19" s="1"/>
  <c r="O104" i="19"/>
  <c r="N104" i="19"/>
  <c r="M104" i="19"/>
  <c r="L104" i="19"/>
  <c r="K104" i="19"/>
  <c r="J104" i="19"/>
  <c r="I104" i="19"/>
  <c r="H104" i="19"/>
  <c r="G104" i="19"/>
  <c r="F104" i="19"/>
  <c r="E104" i="19"/>
  <c r="D104" i="19"/>
  <c r="P104" i="19" s="1"/>
  <c r="O103" i="19"/>
  <c r="N103" i="19"/>
  <c r="M103" i="19"/>
  <c r="L103" i="19"/>
  <c r="K103" i="19"/>
  <c r="J103" i="19"/>
  <c r="I103" i="19"/>
  <c r="P103" i="19" s="1"/>
  <c r="H103" i="19"/>
  <c r="G103" i="19"/>
  <c r="F103" i="19"/>
  <c r="E103" i="19"/>
  <c r="D103" i="19"/>
  <c r="D106" i="19" s="1"/>
  <c r="O102" i="19"/>
  <c r="O106" i="19" s="1"/>
  <c r="N102" i="19"/>
  <c r="N106" i="19" s="1"/>
  <c r="M102" i="19"/>
  <c r="M106" i="19" s="1"/>
  <c r="L102" i="19"/>
  <c r="L106" i="19" s="1"/>
  <c r="K102" i="19"/>
  <c r="K106" i="19" s="1"/>
  <c r="J102" i="19"/>
  <c r="I102" i="19"/>
  <c r="H102" i="19"/>
  <c r="G102" i="19"/>
  <c r="F102" i="19"/>
  <c r="E102" i="19"/>
  <c r="E106" i="19" s="1"/>
  <c r="D102" i="19"/>
  <c r="L101" i="19"/>
  <c r="I101" i="19"/>
  <c r="H101" i="19"/>
  <c r="B101" i="19"/>
  <c r="O100" i="19"/>
  <c r="N100" i="19"/>
  <c r="M100" i="19"/>
  <c r="L100" i="19"/>
  <c r="K100" i="19"/>
  <c r="J100" i="19"/>
  <c r="J101" i="19" s="1"/>
  <c r="I100" i="19"/>
  <c r="H100" i="19"/>
  <c r="G100" i="19"/>
  <c r="F100" i="19"/>
  <c r="E100" i="19"/>
  <c r="D100" i="19"/>
  <c r="P100" i="19" s="1"/>
  <c r="O99" i="19"/>
  <c r="N99" i="19"/>
  <c r="M99" i="19"/>
  <c r="L99" i="19"/>
  <c r="K99" i="19"/>
  <c r="J99" i="19"/>
  <c r="I99" i="19"/>
  <c r="H99" i="19"/>
  <c r="G99" i="19"/>
  <c r="F99" i="19"/>
  <c r="E99" i="19"/>
  <c r="D99" i="19"/>
  <c r="P99" i="19" s="1"/>
  <c r="P98" i="19"/>
  <c r="O98" i="19"/>
  <c r="N98" i="19"/>
  <c r="M98" i="19"/>
  <c r="L98" i="19"/>
  <c r="K98" i="19"/>
  <c r="K101" i="19" s="1"/>
  <c r="J98" i="19"/>
  <c r="I98" i="19"/>
  <c r="H98" i="19"/>
  <c r="G98" i="19"/>
  <c r="F98" i="19"/>
  <c r="F101" i="19" s="1"/>
  <c r="E98" i="19"/>
  <c r="E101" i="19" s="1"/>
  <c r="D98" i="19"/>
  <c r="O97" i="19"/>
  <c r="O101" i="19" s="1"/>
  <c r="N97" i="19"/>
  <c r="N101" i="19" s="1"/>
  <c r="M97" i="19"/>
  <c r="M101" i="19" s="1"/>
  <c r="L97" i="19"/>
  <c r="K97" i="19"/>
  <c r="J97" i="19"/>
  <c r="I97" i="19"/>
  <c r="H97" i="19"/>
  <c r="G97" i="19"/>
  <c r="G101" i="19" s="1"/>
  <c r="F97" i="19"/>
  <c r="E97" i="19"/>
  <c r="D97" i="19"/>
  <c r="D101" i="19" s="1"/>
  <c r="O96" i="19"/>
  <c r="O169" i="19" s="1"/>
  <c r="N96" i="19"/>
  <c r="K96" i="19"/>
  <c r="J96" i="19"/>
  <c r="G96" i="19"/>
  <c r="E96" i="19"/>
  <c r="B96" i="19"/>
  <c r="O95" i="19"/>
  <c r="N95" i="19"/>
  <c r="M95" i="19"/>
  <c r="M96" i="19" s="1"/>
  <c r="L95" i="19"/>
  <c r="L96" i="19" s="1"/>
  <c r="L169" i="19" s="1"/>
  <c r="K95" i="19"/>
  <c r="J95" i="19"/>
  <c r="I95" i="19"/>
  <c r="I96" i="19" s="1"/>
  <c r="I169" i="19" s="1"/>
  <c r="H95" i="19"/>
  <c r="H96" i="19" s="1"/>
  <c r="H169" i="19" s="1"/>
  <c r="G95" i="19"/>
  <c r="F95" i="19"/>
  <c r="F96" i="19" s="1"/>
  <c r="F169" i="19" s="1"/>
  <c r="E95" i="19"/>
  <c r="D95" i="19"/>
  <c r="D96" i="19" s="1"/>
  <c r="F93" i="19"/>
  <c r="B93" i="19"/>
  <c r="P92" i="19"/>
  <c r="O92" i="19"/>
  <c r="N92" i="19"/>
  <c r="M92" i="19"/>
  <c r="L92" i="19"/>
  <c r="K92" i="19"/>
  <c r="J92" i="19"/>
  <c r="I92" i="19"/>
  <c r="H92" i="19"/>
  <c r="G92" i="19"/>
  <c r="F92" i="19"/>
  <c r="E92" i="19"/>
  <c r="D92" i="19"/>
  <c r="O91" i="19"/>
  <c r="N91" i="19"/>
  <c r="M91" i="19"/>
  <c r="M93" i="19" s="1"/>
  <c r="L91" i="19"/>
  <c r="K91" i="19"/>
  <c r="J91" i="19"/>
  <c r="I91" i="19"/>
  <c r="H91" i="19"/>
  <c r="P91" i="19" s="1"/>
  <c r="G91" i="19"/>
  <c r="F91" i="19"/>
  <c r="E91" i="19"/>
  <c r="D91" i="19"/>
  <c r="O90" i="19"/>
  <c r="N90" i="19"/>
  <c r="M90" i="19"/>
  <c r="L90" i="19"/>
  <c r="K90" i="19"/>
  <c r="J90" i="19"/>
  <c r="I90" i="19"/>
  <c r="H90" i="19"/>
  <c r="G90" i="19"/>
  <c r="F90" i="19"/>
  <c r="E90" i="19"/>
  <c r="P90" i="19" s="1"/>
  <c r="D90" i="19"/>
  <c r="O89" i="19"/>
  <c r="N89" i="19"/>
  <c r="M89" i="19"/>
  <c r="L89" i="19"/>
  <c r="K89" i="19"/>
  <c r="J89" i="19"/>
  <c r="I89" i="19"/>
  <c r="H89" i="19"/>
  <c r="G89" i="19"/>
  <c r="P89" i="19" s="1"/>
  <c r="F89" i="19"/>
  <c r="E89" i="19"/>
  <c r="D89" i="19"/>
  <c r="O88" i="19"/>
  <c r="O93" i="19" s="1"/>
  <c r="N88" i="19"/>
  <c r="N93" i="19" s="1"/>
  <c r="M88" i="19"/>
  <c r="L88" i="19"/>
  <c r="L93" i="19" s="1"/>
  <c r="K88" i="19"/>
  <c r="K93" i="19" s="1"/>
  <c r="J88" i="19"/>
  <c r="J93" i="19" s="1"/>
  <c r="I88" i="19"/>
  <c r="I93" i="19" s="1"/>
  <c r="H88" i="19"/>
  <c r="H93" i="19" s="1"/>
  <c r="G88" i="19"/>
  <c r="F88" i="19"/>
  <c r="E88" i="19"/>
  <c r="E93" i="19" s="1"/>
  <c r="D88" i="19"/>
  <c r="P88" i="19" s="1"/>
  <c r="B87" i="19"/>
  <c r="O86" i="19"/>
  <c r="P86" i="19" s="1"/>
  <c r="N86" i="19"/>
  <c r="M86" i="19"/>
  <c r="L86" i="19"/>
  <c r="K86" i="19"/>
  <c r="J86" i="19"/>
  <c r="I86" i="19"/>
  <c r="H86" i="19"/>
  <c r="G86" i="19"/>
  <c r="F86" i="19"/>
  <c r="E86" i="19"/>
  <c r="D86" i="19"/>
  <c r="O85" i="19"/>
  <c r="N85" i="19"/>
  <c r="M85" i="19"/>
  <c r="L85" i="19"/>
  <c r="P85" i="19" s="1"/>
  <c r="K85" i="19"/>
  <c r="J85" i="19"/>
  <c r="I85" i="19"/>
  <c r="H85" i="19"/>
  <c r="G85" i="19"/>
  <c r="F85" i="19"/>
  <c r="E85" i="19"/>
  <c r="D85" i="19"/>
  <c r="O84" i="19"/>
  <c r="N84" i="19"/>
  <c r="M84" i="19"/>
  <c r="L84" i="19"/>
  <c r="K84" i="19"/>
  <c r="J84" i="19"/>
  <c r="I84" i="19"/>
  <c r="H84" i="19"/>
  <c r="G84" i="19"/>
  <c r="F84" i="19"/>
  <c r="E84" i="19"/>
  <c r="D84" i="19"/>
  <c r="P84" i="19" s="1"/>
  <c r="O83" i="19"/>
  <c r="N83" i="19"/>
  <c r="M83" i="19"/>
  <c r="L83" i="19"/>
  <c r="K83" i="19"/>
  <c r="J83" i="19"/>
  <c r="I83" i="19"/>
  <c r="H83" i="19"/>
  <c r="G83" i="19"/>
  <c r="F83" i="19"/>
  <c r="F87" i="19" s="1"/>
  <c r="E83" i="19"/>
  <c r="D83" i="19"/>
  <c r="P83" i="19" s="1"/>
  <c r="O82" i="19"/>
  <c r="N82" i="19"/>
  <c r="M82" i="19"/>
  <c r="L82" i="19"/>
  <c r="K82" i="19"/>
  <c r="J82" i="19"/>
  <c r="I82" i="19"/>
  <c r="H82" i="19"/>
  <c r="G82" i="19"/>
  <c r="F82" i="19"/>
  <c r="E82" i="19"/>
  <c r="D82" i="19"/>
  <c r="P82" i="19" s="1"/>
  <c r="P81" i="19"/>
  <c r="O81" i="19"/>
  <c r="N81" i="19"/>
  <c r="M81" i="19"/>
  <c r="L81" i="19"/>
  <c r="K81" i="19"/>
  <c r="J81" i="19"/>
  <c r="I81" i="19"/>
  <c r="H81" i="19"/>
  <c r="G81" i="19"/>
  <c r="F81" i="19"/>
  <c r="E81" i="19"/>
  <c r="E87" i="19" s="1"/>
  <c r="D81" i="19"/>
  <c r="D87" i="19" s="1"/>
  <c r="O80" i="19"/>
  <c r="N80" i="19"/>
  <c r="M80" i="19"/>
  <c r="L80" i="19"/>
  <c r="K80" i="19"/>
  <c r="J80" i="19"/>
  <c r="I80" i="19"/>
  <c r="H80" i="19"/>
  <c r="P80" i="19" s="1"/>
  <c r="G80" i="19"/>
  <c r="F80" i="19"/>
  <c r="E80" i="19"/>
  <c r="D80" i="19"/>
  <c r="O79" i="19"/>
  <c r="N79" i="19"/>
  <c r="M79" i="19"/>
  <c r="L79" i="19"/>
  <c r="K79" i="19"/>
  <c r="J79" i="19"/>
  <c r="I79" i="19"/>
  <c r="H79" i="19"/>
  <c r="G79" i="19"/>
  <c r="F79" i="19"/>
  <c r="E79" i="19"/>
  <c r="P79" i="19" s="1"/>
  <c r="D79" i="19"/>
  <c r="O78" i="19"/>
  <c r="O87" i="19" s="1"/>
  <c r="N78" i="19"/>
  <c r="N87" i="19" s="1"/>
  <c r="M78" i="19"/>
  <c r="M87" i="19" s="1"/>
  <c r="L78" i="19"/>
  <c r="L87" i="19" s="1"/>
  <c r="K78" i="19"/>
  <c r="K87" i="19" s="1"/>
  <c r="J78" i="19"/>
  <c r="J87" i="19" s="1"/>
  <c r="I78" i="19"/>
  <c r="I87" i="19" s="1"/>
  <c r="H78" i="19"/>
  <c r="H87" i="19" s="1"/>
  <c r="G78" i="19"/>
  <c r="G87" i="19" s="1"/>
  <c r="F78" i="19"/>
  <c r="E78" i="19"/>
  <c r="D78" i="19"/>
  <c r="P78" i="19" s="1"/>
  <c r="P87" i="19" s="1"/>
  <c r="K77" i="19"/>
  <c r="I77" i="19"/>
  <c r="H77" i="19"/>
  <c r="E77" i="19"/>
  <c r="D77" i="19"/>
  <c r="B77" i="19"/>
  <c r="O76" i="19"/>
  <c r="N76" i="19"/>
  <c r="M76" i="19"/>
  <c r="L76" i="19"/>
  <c r="K76" i="19"/>
  <c r="J76" i="19"/>
  <c r="I76" i="19"/>
  <c r="H76" i="19"/>
  <c r="G76" i="19"/>
  <c r="G77" i="19" s="1"/>
  <c r="F76" i="19"/>
  <c r="F77" i="19" s="1"/>
  <c r="E76" i="19"/>
  <c r="D76" i="19"/>
  <c r="P76" i="19" s="1"/>
  <c r="O75" i="19"/>
  <c r="O77" i="19" s="1"/>
  <c r="N75" i="19"/>
  <c r="N77" i="19" s="1"/>
  <c r="M75" i="19"/>
  <c r="M77" i="19" s="1"/>
  <c r="L75" i="19"/>
  <c r="L77" i="19" s="1"/>
  <c r="K75" i="19"/>
  <c r="J75" i="19"/>
  <c r="J77" i="19" s="1"/>
  <c r="I75" i="19"/>
  <c r="H75" i="19"/>
  <c r="G75" i="19"/>
  <c r="F75" i="19"/>
  <c r="E75" i="19"/>
  <c r="D75" i="19"/>
  <c r="M74" i="19"/>
  <c r="L74" i="19"/>
  <c r="B74" i="19"/>
  <c r="O73" i="19"/>
  <c r="O74" i="19" s="1"/>
  <c r="N73" i="19"/>
  <c r="N74" i="19" s="1"/>
  <c r="M73" i="19"/>
  <c r="L73" i="19"/>
  <c r="K73" i="19"/>
  <c r="J73" i="19"/>
  <c r="I73" i="19"/>
  <c r="H73" i="19"/>
  <c r="G73" i="19"/>
  <c r="F73" i="19"/>
  <c r="E73" i="19"/>
  <c r="P73" i="19" s="1"/>
  <c r="D73" i="19"/>
  <c r="O72" i="19"/>
  <c r="N72" i="19"/>
  <c r="M72" i="19"/>
  <c r="L72" i="19"/>
  <c r="K72" i="19"/>
  <c r="K74" i="19" s="1"/>
  <c r="J72" i="19"/>
  <c r="J74" i="19" s="1"/>
  <c r="I72" i="19"/>
  <c r="I74" i="19" s="1"/>
  <c r="H72" i="19"/>
  <c r="H74" i="19" s="1"/>
  <c r="G72" i="19"/>
  <c r="G74" i="19" s="1"/>
  <c r="F72" i="19"/>
  <c r="F74" i="19" s="1"/>
  <c r="E72" i="19"/>
  <c r="E74" i="19" s="1"/>
  <c r="D72" i="19"/>
  <c r="P72" i="19" s="1"/>
  <c r="K71" i="19"/>
  <c r="I71" i="19"/>
  <c r="H71" i="19"/>
  <c r="E71" i="19"/>
  <c r="D71" i="19"/>
  <c r="B71" i="19"/>
  <c r="O70" i="19"/>
  <c r="N70" i="19"/>
  <c r="M70" i="19"/>
  <c r="L70" i="19"/>
  <c r="K70" i="19"/>
  <c r="J70" i="19"/>
  <c r="I70" i="19"/>
  <c r="H70" i="19"/>
  <c r="G70" i="19"/>
  <c r="F70" i="19"/>
  <c r="F71" i="19" s="1"/>
  <c r="E70" i="19"/>
  <c r="D70" i="19"/>
  <c r="P70" i="19" s="1"/>
  <c r="O69" i="19"/>
  <c r="O71" i="19" s="1"/>
  <c r="N69" i="19"/>
  <c r="M69" i="19"/>
  <c r="L69" i="19"/>
  <c r="K69" i="19"/>
  <c r="J69" i="19"/>
  <c r="J71" i="19" s="1"/>
  <c r="I69" i="19"/>
  <c r="H69" i="19"/>
  <c r="G69" i="19"/>
  <c r="F69" i="19"/>
  <c r="E69" i="19"/>
  <c r="D69" i="19"/>
  <c r="O68" i="19"/>
  <c r="N68" i="19"/>
  <c r="N71" i="19" s="1"/>
  <c r="M68" i="19"/>
  <c r="M71" i="19" s="1"/>
  <c r="L68" i="19"/>
  <c r="L71" i="19" s="1"/>
  <c r="K68" i="19"/>
  <c r="J68" i="19"/>
  <c r="I68" i="19"/>
  <c r="H68" i="19"/>
  <c r="G68" i="19"/>
  <c r="G71" i="19" s="1"/>
  <c r="F68" i="19"/>
  <c r="E68" i="19"/>
  <c r="D68" i="19"/>
  <c r="J67" i="19"/>
  <c r="B67" i="19"/>
  <c r="O66" i="19"/>
  <c r="N66" i="19"/>
  <c r="M66" i="19"/>
  <c r="L66" i="19"/>
  <c r="K66" i="19"/>
  <c r="J66" i="19"/>
  <c r="I66" i="19"/>
  <c r="H66" i="19"/>
  <c r="G66" i="19"/>
  <c r="F66" i="19"/>
  <c r="E66" i="19"/>
  <c r="D66" i="19"/>
  <c r="P66" i="19" s="1"/>
  <c r="O65" i="19"/>
  <c r="N65" i="19"/>
  <c r="M65" i="19"/>
  <c r="L65" i="19"/>
  <c r="K65" i="19"/>
  <c r="J65" i="19"/>
  <c r="I65" i="19"/>
  <c r="H65" i="19"/>
  <c r="G65" i="19"/>
  <c r="F65" i="19"/>
  <c r="E65" i="19"/>
  <c r="D65" i="19"/>
  <c r="P65" i="19" s="1"/>
  <c r="O64" i="19"/>
  <c r="N64" i="19"/>
  <c r="M64" i="19"/>
  <c r="L64" i="19"/>
  <c r="K64" i="19"/>
  <c r="J64" i="19"/>
  <c r="I64" i="19"/>
  <c r="H64" i="19"/>
  <c r="G64" i="19"/>
  <c r="F64" i="19"/>
  <c r="E64" i="19"/>
  <c r="D64" i="19"/>
  <c r="P64" i="19" s="1"/>
  <c r="O63" i="19"/>
  <c r="N63" i="19"/>
  <c r="M63" i="19"/>
  <c r="L63" i="19"/>
  <c r="K63" i="19"/>
  <c r="J63" i="19"/>
  <c r="I63" i="19"/>
  <c r="P63" i="19" s="1"/>
  <c r="H63" i="19"/>
  <c r="G63" i="19"/>
  <c r="F63" i="19"/>
  <c r="E63" i="19"/>
  <c r="D63" i="19"/>
  <c r="O62" i="19"/>
  <c r="N62" i="19"/>
  <c r="M62" i="19"/>
  <c r="L62" i="19"/>
  <c r="K62" i="19"/>
  <c r="P62" i="19" s="1"/>
  <c r="J62" i="19"/>
  <c r="I62" i="19"/>
  <c r="H62" i="19"/>
  <c r="G62" i="19"/>
  <c r="F62" i="19"/>
  <c r="E62" i="19"/>
  <c r="D62" i="19"/>
  <c r="O61" i="19"/>
  <c r="N61" i="19"/>
  <c r="M61" i="19"/>
  <c r="L61" i="19"/>
  <c r="K61" i="19"/>
  <c r="J61" i="19"/>
  <c r="I61" i="19"/>
  <c r="H61" i="19"/>
  <c r="G61" i="19"/>
  <c r="F61" i="19"/>
  <c r="E61" i="19"/>
  <c r="D61" i="19"/>
  <c r="P61" i="19" s="1"/>
  <c r="O60" i="19"/>
  <c r="N60" i="19"/>
  <c r="M60" i="19"/>
  <c r="L60" i="19"/>
  <c r="K60" i="19"/>
  <c r="J60" i="19"/>
  <c r="I60" i="19"/>
  <c r="H60" i="19"/>
  <c r="G60" i="19"/>
  <c r="F60" i="19"/>
  <c r="E60" i="19"/>
  <c r="P60" i="19" s="1"/>
  <c r="D60" i="19"/>
  <c r="O59" i="19"/>
  <c r="N59" i="19"/>
  <c r="M59" i="19"/>
  <c r="L59" i="19"/>
  <c r="K59" i="19"/>
  <c r="J59" i="19"/>
  <c r="I59" i="19"/>
  <c r="H59" i="19"/>
  <c r="G59" i="19"/>
  <c r="F59" i="19"/>
  <c r="E59" i="19"/>
  <c r="D59" i="19"/>
  <c r="P59" i="19" s="1"/>
  <c r="O58" i="19"/>
  <c r="P58" i="19" s="1"/>
  <c r="N58" i="19"/>
  <c r="M58" i="19"/>
  <c r="L58" i="19"/>
  <c r="K58" i="19"/>
  <c r="J58" i="19"/>
  <c r="I58" i="19"/>
  <c r="H58" i="19"/>
  <c r="G58" i="19"/>
  <c r="F58" i="19"/>
  <c r="E58" i="19"/>
  <c r="D58" i="19"/>
  <c r="O57" i="19"/>
  <c r="N57" i="19"/>
  <c r="M57" i="19"/>
  <c r="L57" i="19"/>
  <c r="P57" i="19" s="1"/>
  <c r="K57" i="19"/>
  <c r="J57" i="19"/>
  <c r="I57" i="19"/>
  <c r="H57" i="19"/>
  <c r="G57" i="19"/>
  <c r="F57" i="19"/>
  <c r="E57" i="19"/>
  <c r="D57" i="19"/>
  <c r="O56" i="19"/>
  <c r="O67" i="19" s="1"/>
  <c r="N56" i="19"/>
  <c r="N67" i="19" s="1"/>
  <c r="M56" i="19"/>
  <c r="M67" i="19" s="1"/>
  <c r="L56" i="19"/>
  <c r="L67" i="19" s="1"/>
  <c r="K56" i="19"/>
  <c r="K67" i="19" s="1"/>
  <c r="J56" i="19"/>
  <c r="I56" i="19"/>
  <c r="I67" i="19" s="1"/>
  <c r="H56" i="19"/>
  <c r="H67" i="19" s="1"/>
  <c r="G56" i="19"/>
  <c r="G67" i="19" s="1"/>
  <c r="F56" i="19"/>
  <c r="F67" i="19" s="1"/>
  <c r="E56" i="19"/>
  <c r="E67" i="19" s="1"/>
  <c r="D56" i="19"/>
  <c r="D67" i="19" s="1"/>
  <c r="F55" i="19"/>
  <c r="B55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P54" i="19" s="1"/>
  <c r="O53" i="19"/>
  <c r="N53" i="19"/>
  <c r="M53" i="19"/>
  <c r="L53" i="19"/>
  <c r="K53" i="19"/>
  <c r="J53" i="19"/>
  <c r="I53" i="19"/>
  <c r="H53" i="19"/>
  <c r="G53" i="19"/>
  <c r="F53" i="19"/>
  <c r="E53" i="19"/>
  <c r="D53" i="19"/>
  <c r="P53" i="19" s="1"/>
  <c r="O52" i="19"/>
  <c r="N52" i="19"/>
  <c r="M52" i="19"/>
  <c r="L52" i="19"/>
  <c r="K52" i="19"/>
  <c r="J52" i="19"/>
  <c r="I52" i="19"/>
  <c r="P52" i="19" s="1"/>
  <c r="H52" i="19"/>
  <c r="G52" i="19"/>
  <c r="F52" i="19"/>
  <c r="E52" i="19"/>
  <c r="D52" i="19"/>
  <c r="O51" i="19"/>
  <c r="N51" i="19"/>
  <c r="M51" i="19"/>
  <c r="L51" i="19"/>
  <c r="K51" i="19"/>
  <c r="P51" i="19" s="1"/>
  <c r="J51" i="19"/>
  <c r="I51" i="19"/>
  <c r="H51" i="19"/>
  <c r="G51" i="19"/>
  <c r="F51" i="19"/>
  <c r="E51" i="19"/>
  <c r="D51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P50" i="19" s="1"/>
  <c r="O49" i="19"/>
  <c r="N49" i="19"/>
  <c r="M49" i="19"/>
  <c r="L49" i="19"/>
  <c r="K49" i="19"/>
  <c r="J49" i="19"/>
  <c r="I49" i="19"/>
  <c r="H49" i="19"/>
  <c r="G49" i="19"/>
  <c r="F49" i="19"/>
  <c r="E49" i="19"/>
  <c r="P49" i="19" s="1"/>
  <c r="D49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P48" i="19" s="1"/>
  <c r="O47" i="19"/>
  <c r="P47" i="19" s="1"/>
  <c r="N47" i="19"/>
  <c r="M47" i="19"/>
  <c r="L47" i="19"/>
  <c r="K47" i="19"/>
  <c r="J47" i="19"/>
  <c r="I47" i="19"/>
  <c r="H47" i="19"/>
  <c r="G47" i="19"/>
  <c r="F47" i="19"/>
  <c r="E47" i="19"/>
  <c r="D47" i="19"/>
  <c r="O46" i="19"/>
  <c r="N46" i="19"/>
  <c r="M46" i="19"/>
  <c r="L46" i="19"/>
  <c r="P46" i="19" s="1"/>
  <c r="K46" i="19"/>
  <c r="J46" i="19"/>
  <c r="I46" i="19"/>
  <c r="H46" i="19"/>
  <c r="G46" i="19"/>
  <c r="F46" i="19"/>
  <c r="E46" i="19"/>
  <c r="D46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P45" i="19" s="1"/>
  <c r="O44" i="19"/>
  <c r="N44" i="19"/>
  <c r="M44" i="19"/>
  <c r="L44" i="19"/>
  <c r="L55" i="19" s="1"/>
  <c r="K44" i="19"/>
  <c r="J44" i="19"/>
  <c r="J55" i="19" s="1"/>
  <c r="I44" i="19"/>
  <c r="I55" i="19" s="1"/>
  <c r="I94" i="19" s="1"/>
  <c r="H44" i="19"/>
  <c r="G44" i="19"/>
  <c r="G55" i="19" s="1"/>
  <c r="F44" i="19"/>
  <c r="E44" i="19"/>
  <c r="D44" i="19"/>
  <c r="P44" i="19" s="1"/>
  <c r="O43" i="19"/>
  <c r="N43" i="19"/>
  <c r="M43" i="19"/>
  <c r="L43" i="19"/>
  <c r="K43" i="19"/>
  <c r="J43" i="19"/>
  <c r="I43" i="19"/>
  <c r="H43" i="19"/>
  <c r="H55" i="19" s="1"/>
  <c r="G43" i="19"/>
  <c r="F43" i="19"/>
  <c r="E43" i="19"/>
  <c r="D43" i="19"/>
  <c r="P43" i="19" s="1"/>
  <c r="P42" i="19"/>
  <c r="O42" i="19"/>
  <c r="O55" i="19" s="1"/>
  <c r="O94" i="19" s="1"/>
  <c r="N42" i="19"/>
  <c r="N55" i="19" s="1"/>
  <c r="N94" i="19" s="1"/>
  <c r="M42" i="19"/>
  <c r="M55" i="19" s="1"/>
  <c r="L42" i="19"/>
  <c r="K42" i="19"/>
  <c r="K55" i="19" s="1"/>
  <c r="K94" i="19" s="1"/>
  <c r="J42" i="19"/>
  <c r="I42" i="19"/>
  <c r="H42" i="19"/>
  <c r="G42" i="19"/>
  <c r="F42" i="19"/>
  <c r="E42" i="19"/>
  <c r="E55" i="19" s="1"/>
  <c r="D42" i="19"/>
  <c r="D55" i="19" s="1"/>
  <c r="N41" i="19"/>
  <c r="O40" i="19"/>
  <c r="O41" i="19" s="1"/>
  <c r="N40" i="19"/>
  <c r="K40" i="19"/>
  <c r="K41" i="19" s="1"/>
  <c r="J40" i="19"/>
  <c r="J41" i="19" s="1"/>
  <c r="G40" i="19"/>
  <c r="G41" i="19" s="1"/>
  <c r="E40" i="19"/>
  <c r="E41" i="19" s="1"/>
  <c r="B40" i="19"/>
  <c r="O39" i="19"/>
  <c r="N39" i="19"/>
  <c r="M39" i="19"/>
  <c r="M40" i="19" s="1"/>
  <c r="M41" i="19" s="1"/>
  <c r="L39" i="19"/>
  <c r="L40" i="19" s="1"/>
  <c r="L41" i="19" s="1"/>
  <c r="K39" i="19"/>
  <c r="J39" i="19"/>
  <c r="I39" i="19"/>
  <c r="I40" i="19" s="1"/>
  <c r="I41" i="19" s="1"/>
  <c r="H39" i="19"/>
  <c r="H40" i="19" s="1"/>
  <c r="H41" i="19" s="1"/>
  <c r="G39" i="19"/>
  <c r="F39" i="19"/>
  <c r="F40" i="19" s="1"/>
  <c r="F41" i="19" s="1"/>
  <c r="E39" i="19"/>
  <c r="D39" i="19"/>
  <c r="D40" i="19" s="1"/>
  <c r="D41" i="19" s="1"/>
  <c r="O35" i="19"/>
  <c r="B35" i="19"/>
  <c r="O34" i="19"/>
  <c r="N34" i="19"/>
  <c r="M34" i="19"/>
  <c r="L34" i="19"/>
  <c r="K34" i="19"/>
  <c r="J34" i="19"/>
  <c r="I34" i="19"/>
  <c r="H34" i="19"/>
  <c r="P34" i="19" s="1"/>
  <c r="G34" i="19"/>
  <c r="F34" i="19"/>
  <c r="E34" i="19"/>
  <c r="D34" i="19"/>
  <c r="O33" i="19"/>
  <c r="N33" i="19"/>
  <c r="M33" i="19"/>
  <c r="L33" i="19"/>
  <c r="K33" i="19"/>
  <c r="J33" i="19"/>
  <c r="J35" i="19" s="1"/>
  <c r="I33" i="19"/>
  <c r="H33" i="19"/>
  <c r="G33" i="19"/>
  <c r="F33" i="19"/>
  <c r="E33" i="19"/>
  <c r="P33" i="19" s="1"/>
  <c r="D33" i="19"/>
  <c r="O32" i="19"/>
  <c r="N32" i="19"/>
  <c r="M32" i="19"/>
  <c r="L32" i="19"/>
  <c r="L35" i="19" s="1"/>
  <c r="K32" i="19"/>
  <c r="J32" i="19"/>
  <c r="I32" i="19"/>
  <c r="H32" i="19"/>
  <c r="G32" i="19"/>
  <c r="F32" i="19"/>
  <c r="E32" i="19"/>
  <c r="D32" i="19"/>
  <c r="P32" i="19" s="1"/>
  <c r="O31" i="19"/>
  <c r="N31" i="19"/>
  <c r="N35" i="19" s="1"/>
  <c r="M31" i="19"/>
  <c r="M35" i="19" s="1"/>
  <c r="L31" i="19"/>
  <c r="K31" i="19"/>
  <c r="K35" i="19" s="1"/>
  <c r="J31" i="19"/>
  <c r="I31" i="19"/>
  <c r="I35" i="19" s="1"/>
  <c r="H31" i="19"/>
  <c r="H35" i="19" s="1"/>
  <c r="G31" i="19"/>
  <c r="G35" i="19" s="1"/>
  <c r="F31" i="19"/>
  <c r="F35" i="19" s="1"/>
  <c r="E31" i="19"/>
  <c r="E35" i="19" s="1"/>
  <c r="D31" i="19"/>
  <c r="P31" i="19" s="1"/>
  <c r="E30" i="19"/>
  <c r="B30" i="19"/>
  <c r="O29" i="19"/>
  <c r="P29" i="19" s="1"/>
  <c r="N29" i="19"/>
  <c r="M29" i="19"/>
  <c r="L29" i="19"/>
  <c r="K29" i="19"/>
  <c r="J29" i="19"/>
  <c r="I29" i="19"/>
  <c r="H29" i="19"/>
  <c r="G29" i="19"/>
  <c r="F29" i="19"/>
  <c r="E29" i="19"/>
  <c r="D29" i="19"/>
  <c r="O28" i="19"/>
  <c r="N28" i="19"/>
  <c r="M28" i="19"/>
  <c r="L28" i="19"/>
  <c r="L30" i="19" s="1"/>
  <c r="K28" i="19"/>
  <c r="J28" i="19"/>
  <c r="I28" i="19"/>
  <c r="H28" i="19"/>
  <c r="G28" i="19"/>
  <c r="F28" i="19"/>
  <c r="E28" i="19"/>
  <c r="D28" i="19"/>
  <c r="O27" i="19"/>
  <c r="N27" i="19"/>
  <c r="N30" i="19" s="1"/>
  <c r="M27" i="19"/>
  <c r="L27" i="19"/>
  <c r="K27" i="19"/>
  <c r="J27" i="19"/>
  <c r="I27" i="19"/>
  <c r="H27" i="19"/>
  <c r="G27" i="19"/>
  <c r="F27" i="19"/>
  <c r="E27" i="19"/>
  <c r="D27" i="19"/>
  <c r="P27" i="19" s="1"/>
  <c r="O26" i="19"/>
  <c r="O30" i="19" s="1"/>
  <c r="N26" i="19"/>
  <c r="M26" i="19"/>
  <c r="M30" i="19" s="1"/>
  <c r="L26" i="19"/>
  <c r="K26" i="19"/>
  <c r="K30" i="19" s="1"/>
  <c r="J26" i="19"/>
  <c r="J30" i="19" s="1"/>
  <c r="I26" i="19"/>
  <c r="I30" i="19" s="1"/>
  <c r="H26" i="19"/>
  <c r="H30" i="19" s="1"/>
  <c r="G26" i="19"/>
  <c r="G30" i="19" s="1"/>
  <c r="F26" i="19"/>
  <c r="F30" i="19" s="1"/>
  <c r="E26" i="19"/>
  <c r="D26" i="19"/>
  <c r="P26" i="19" s="1"/>
  <c r="G25" i="19"/>
  <c r="G36" i="19" s="1"/>
  <c r="D25" i="19"/>
  <c r="B25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P24" i="19" s="1"/>
  <c r="O23" i="19"/>
  <c r="N23" i="19"/>
  <c r="N25" i="19" s="1"/>
  <c r="N36" i="19" s="1"/>
  <c r="M23" i="19"/>
  <c r="L23" i="19"/>
  <c r="K23" i="19"/>
  <c r="J23" i="19"/>
  <c r="I23" i="19"/>
  <c r="H23" i="19"/>
  <c r="G23" i="19"/>
  <c r="F23" i="19"/>
  <c r="E23" i="19"/>
  <c r="D23" i="19"/>
  <c r="P23" i="19" s="1"/>
  <c r="O22" i="19"/>
  <c r="N22" i="19"/>
  <c r="M22" i="19"/>
  <c r="L22" i="19"/>
  <c r="K22" i="19"/>
  <c r="J22" i="19"/>
  <c r="I22" i="19"/>
  <c r="H22" i="19"/>
  <c r="G22" i="19"/>
  <c r="F22" i="19"/>
  <c r="P22" i="19" s="1"/>
  <c r="E22" i="19"/>
  <c r="D22" i="19"/>
  <c r="O21" i="19"/>
  <c r="N21" i="19"/>
  <c r="M21" i="19"/>
  <c r="L21" i="19"/>
  <c r="K21" i="19"/>
  <c r="J21" i="19"/>
  <c r="I21" i="19"/>
  <c r="H21" i="19"/>
  <c r="H25" i="19" s="1"/>
  <c r="G21" i="19"/>
  <c r="F21" i="19"/>
  <c r="E21" i="19"/>
  <c r="D21" i="19"/>
  <c r="P21" i="19" s="1"/>
  <c r="O20" i="19"/>
  <c r="O25" i="19" s="1"/>
  <c r="N20" i="19"/>
  <c r="M20" i="19"/>
  <c r="M25" i="19" s="1"/>
  <c r="M36" i="19" s="1"/>
  <c r="L20" i="19"/>
  <c r="L25" i="19" s="1"/>
  <c r="K20" i="19"/>
  <c r="K25" i="19" s="1"/>
  <c r="J20" i="19"/>
  <c r="J25" i="19" s="1"/>
  <c r="I20" i="19"/>
  <c r="I25" i="19" s="1"/>
  <c r="I36" i="19" s="1"/>
  <c r="H20" i="19"/>
  <c r="G20" i="19"/>
  <c r="F20" i="19"/>
  <c r="F25" i="19" s="1"/>
  <c r="E20" i="19"/>
  <c r="P20" i="19" s="1"/>
  <c r="D20" i="19"/>
  <c r="O18" i="19"/>
  <c r="O19" i="19" s="1"/>
  <c r="D18" i="19"/>
  <c r="D19" i="19" s="1"/>
  <c r="B18" i="19"/>
  <c r="O17" i="19"/>
  <c r="N17" i="19"/>
  <c r="M17" i="19"/>
  <c r="L17" i="19"/>
  <c r="K17" i="19"/>
  <c r="J17" i="19"/>
  <c r="I17" i="19"/>
  <c r="H17" i="19"/>
  <c r="P17" i="19" s="1"/>
  <c r="G17" i="19"/>
  <c r="F17" i="19"/>
  <c r="E17" i="19"/>
  <c r="D17" i="19"/>
  <c r="O16" i="19"/>
  <c r="N16" i="19"/>
  <c r="N18" i="19" s="1"/>
  <c r="N19" i="19" s="1"/>
  <c r="M16" i="19"/>
  <c r="M18" i="19" s="1"/>
  <c r="M19" i="19" s="1"/>
  <c r="L16" i="19"/>
  <c r="L18" i="19" s="1"/>
  <c r="L19" i="19" s="1"/>
  <c r="K16" i="19"/>
  <c r="K18" i="19" s="1"/>
  <c r="K19" i="19" s="1"/>
  <c r="J16" i="19"/>
  <c r="J18" i="19" s="1"/>
  <c r="J19" i="19" s="1"/>
  <c r="I16" i="19"/>
  <c r="I18" i="19" s="1"/>
  <c r="I19" i="19" s="1"/>
  <c r="H16" i="19"/>
  <c r="H18" i="19" s="1"/>
  <c r="H19" i="19" s="1"/>
  <c r="G16" i="19"/>
  <c r="G18" i="19" s="1"/>
  <c r="G19" i="19" s="1"/>
  <c r="F16" i="19"/>
  <c r="F18" i="19" s="1"/>
  <c r="F19" i="19" s="1"/>
  <c r="E16" i="19"/>
  <c r="E18" i="19" s="1"/>
  <c r="D16" i="19"/>
  <c r="H14" i="19"/>
  <c r="E14" i="19"/>
  <c r="D14" i="19"/>
  <c r="P14" i="19" s="1"/>
  <c r="B14" i="19"/>
  <c r="O13" i="19"/>
  <c r="N13" i="19"/>
  <c r="M13" i="19"/>
  <c r="L13" i="19"/>
  <c r="K13" i="19"/>
  <c r="J13" i="19"/>
  <c r="I13" i="19"/>
  <c r="H13" i="19"/>
  <c r="G13" i="19"/>
  <c r="F13" i="19"/>
  <c r="F14" i="19" s="1"/>
  <c r="E13" i="19"/>
  <c r="D13" i="19"/>
  <c r="P13" i="19" s="1"/>
  <c r="O12" i="19"/>
  <c r="O14" i="19" s="1"/>
  <c r="N12" i="19"/>
  <c r="M12" i="19"/>
  <c r="L12" i="19"/>
  <c r="K12" i="19"/>
  <c r="J12" i="19"/>
  <c r="I12" i="19"/>
  <c r="H12" i="19"/>
  <c r="G12" i="19"/>
  <c r="F12" i="19"/>
  <c r="E12" i="19"/>
  <c r="D12" i="19"/>
  <c r="O11" i="19"/>
  <c r="N11" i="19"/>
  <c r="M11" i="19"/>
  <c r="L11" i="19"/>
  <c r="P11" i="19" s="1"/>
  <c r="K11" i="19"/>
  <c r="J11" i="19"/>
  <c r="I11" i="19"/>
  <c r="H11" i="19"/>
  <c r="G11" i="19"/>
  <c r="G14" i="19" s="1"/>
  <c r="G15" i="19" s="1"/>
  <c r="F11" i="19"/>
  <c r="E11" i="19"/>
  <c r="D11" i="19"/>
  <c r="O10" i="19"/>
  <c r="N10" i="19"/>
  <c r="N14" i="19" s="1"/>
  <c r="M10" i="19"/>
  <c r="M14" i="19" s="1"/>
  <c r="L10" i="19"/>
  <c r="L14" i="19" s="1"/>
  <c r="K10" i="19"/>
  <c r="K14" i="19" s="1"/>
  <c r="K15" i="19" s="1"/>
  <c r="J10" i="19"/>
  <c r="J14" i="19" s="1"/>
  <c r="I10" i="19"/>
  <c r="I14" i="19" s="1"/>
  <c r="H10" i="19"/>
  <c r="G10" i="19"/>
  <c r="F10" i="19"/>
  <c r="E10" i="19"/>
  <c r="D10" i="19"/>
  <c r="P10" i="19" s="1"/>
  <c r="K9" i="19"/>
  <c r="J9" i="19"/>
  <c r="J15" i="19" s="1"/>
  <c r="G9" i="19"/>
  <c r="F9" i="19"/>
  <c r="B9" i="19"/>
  <c r="O8" i="19"/>
  <c r="N8" i="19"/>
  <c r="M8" i="19"/>
  <c r="L8" i="19"/>
  <c r="K8" i="19"/>
  <c r="J8" i="19"/>
  <c r="I8" i="19"/>
  <c r="I9" i="19" s="1"/>
  <c r="I15" i="19" s="1"/>
  <c r="I37" i="19" s="1"/>
  <c r="H8" i="19"/>
  <c r="H9" i="19" s="1"/>
  <c r="H15" i="19" s="1"/>
  <c r="G8" i="19"/>
  <c r="F8" i="19"/>
  <c r="E8" i="19"/>
  <c r="D8" i="19"/>
  <c r="P8" i="19" s="1"/>
  <c r="O7" i="19"/>
  <c r="O9" i="19" s="1"/>
  <c r="O15" i="19" s="1"/>
  <c r="N7" i="19"/>
  <c r="N9" i="19" s="1"/>
  <c r="N15" i="19" s="1"/>
  <c r="N37" i="19" s="1"/>
  <c r="M7" i="19"/>
  <c r="M9" i="19" s="1"/>
  <c r="L7" i="19"/>
  <c r="L9" i="19" s="1"/>
  <c r="K7" i="19"/>
  <c r="J7" i="19"/>
  <c r="I7" i="19"/>
  <c r="H7" i="19"/>
  <c r="G7" i="19"/>
  <c r="F7" i="19"/>
  <c r="E7" i="19"/>
  <c r="E9" i="19" s="1"/>
  <c r="E15" i="19" s="1"/>
  <c r="D7" i="19"/>
  <c r="P7" i="19" s="1"/>
  <c r="O5" i="19"/>
  <c r="N5" i="19"/>
  <c r="M5" i="19"/>
  <c r="L5" i="19"/>
  <c r="K5" i="19"/>
  <c r="J5" i="19"/>
  <c r="I5" i="19"/>
  <c r="H5" i="19"/>
  <c r="G5" i="19"/>
  <c r="F5" i="19"/>
  <c r="E5" i="19"/>
  <c r="D5" i="19"/>
  <c r="B5" i="19"/>
  <c r="H20" i="18"/>
  <c r="B20" i="18"/>
  <c r="H19" i="18"/>
  <c r="B19" i="18"/>
  <c r="H18" i="18"/>
  <c r="B18" i="18"/>
  <c r="H17" i="18"/>
  <c r="B17" i="18"/>
  <c r="H16" i="18"/>
  <c r="B16" i="18"/>
  <c r="H15" i="18"/>
  <c r="B15" i="18"/>
  <c r="H14" i="18"/>
  <c r="B14" i="18"/>
  <c r="H13" i="18"/>
  <c r="B13" i="18"/>
  <c r="H12" i="18"/>
  <c r="B12" i="18"/>
  <c r="H11" i="18"/>
  <c r="B11" i="18"/>
  <c r="H10" i="18"/>
  <c r="B10" i="18"/>
  <c r="H9" i="18"/>
  <c r="B9" i="18"/>
  <c r="M1" i="18"/>
  <c r="L1" i="18"/>
  <c r="K1" i="18"/>
  <c r="J1" i="18"/>
  <c r="I1" i="18"/>
  <c r="H1" i="18"/>
  <c r="G1" i="18"/>
  <c r="F1" i="18"/>
  <c r="E1" i="18"/>
  <c r="D1" i="18"/>
  <c r="C1" i="18"/>
  <c r="B1" i="18"/>
  <c r="D23" i="21" l="1"/>
  <c r="P23" i="21" s="1"/>
  <c r="P22" i="21"/>
  <c r="M86" i="21"/>
  <c r="P67" i="21"/>
  <c r="E19" i="21"/>
  <c r="E39" i="21" s="1"/>
  <c r="P28" i="21"/>
  <c r="L161" i="21"/>
  <c r="L162" i="21" s="1"/>
  <c r="P129" i="21"/>
  <c r="M161" i="21"/>
  <c r="P171" i="21"/>
  <c r="P172" i="21" s="1"/>
  <c r="P178" i="21"/>
  <c r="P179" i="21" s="1"/>
  <c r="N161" i="21"/>
  <c r="F180" i="21"/>
  <c r="P18" i="21"/>
  <c r="N162" i="21"/>
  <c r="E161" i="21"/>
  <c r="G180" i="21"/>
  <c r="P33" i="21"/>
  <c r="O162" i="21"/>
  <c r="F161" i="21"/>
  <c r="P109" i="21"/>
  <c r="H180" i="21"/>
  <c r="K38" i="21"/>
  <c r="G161" i="21"/>
  <c r="M162" i="21"/>
  <c r="I86" i="21"/>
  <c r="H161" i="21"/>
  <c r="I19" i="21"/>
  <c r="I39" i="21" s="1"/>
  <c r="P37" i="21"/>
  <c r="F86" i="21"/>
  <c r="F162" i="21" s="1"/>
  <c r="F164" i="21" s="1"/>
  <c r="F182" i="21" s="1"/>
  <c r="I161" i="21"/>
  <c r="K180" i="21"/>
  <c r="N38" i="21"/>
  <c r="N39" i="21" s="1"/>
  <c r="N164" i="21" s="1"/>
  <c r="N182" i="21" s="1"/>
  <c r="J38" i="21"/>
  <c r="J39" i="21" s="1"/>
  <c r="J161" i="21"/>
  <c r="L180" i="21"/>
  <c r="K39" i="21"/>
  <c r="O38" i="21"/>
  <c r="O39" i="21" s="1"/>
  <c r="O164" i="21" s="1"/>
  <c r="O182" i="21" s="1"/>
  <c r="G38" i="21"/>
  <c r="G39" i="21" s="1"/>
  <c r="K161" i="21"/>
  <c r="K162" i="21" s="1"/>
  <c r="M180" i="21"/>
  <c r="L19" i="21"/>
  <c r="L39" i="21" s="1"/>
  <c r="E86" i="21"/>
  <c r="E162" i="21" s="1"/>
  <c r="P83" i="21"/>
  <c r="N180" i="21"/>
  <c r="P189" i="21"/>
  <c r="P190" i="21" s="1"/>
  <c r="M19" i="21"/>
  <c r="M39" i="21" s="1"/>
  <c r="D19" i="21"/>
  <c r="J86" i="21"/>
  <c r="J162" i="21" s="1"/>
  <c r="D178" i="21"/>
  <c r="D179" i="21" s="1"/>
  <c r="P9" i="21"/>
  <c r="D74" i="21"/>
  <c r="P101" i="21"/>
  <c r="P105" i="21" s="1"/>
  <c r="P118" i="21"/>
  <c r="P123" i="21" s="1"/>
  <c r="P20" i="21"/>
  <c r="P8" i="21"/>
  <c r="P31" i="21"/>
  <c r="P49" i="21"/>
  <c r="P56" i="21" s="1"/>
  <c r="P86" i="21" s="1"/>
  <c r="D56" i="21"/>
  <c r="D86" i="21" s="1"/>
  <c r="P89" i="21"/>
  <c r="P94" i="21" s="1"/>
  <c r="P140" i="21"/>
  <c r="P149" i="21" s="1"/>
  <c r="D38" i="21"/>
  <c r="P43" i="21"/>
  <c r="P44" i="21" s="1"/>
  <c r="P45" i="21" s="1"/>
  <c r="P77" i="21"/>
  <c r="D171" i="21"/>
  <c r="D172" i="21" s="1"/>
  <c r="D180" i="21" s="1"/>
  <c r="I28" i="21"/>
  <c r="I38" i="21" s="1"/>
  <c r="P71" i="21"/>
  <c r="P74" i="21" s="1"/>
  <c r="I178" i="21"/>
  <c r="I179" i="21" s="1"/>
  <c r="I180" i="21" s="1"/>
  <c r="G63" i="21"/>
  <c r="G86" i="21" s="1"/>
  <c r="G162" i="21" s="1"/>
  <c r="P7" i="21"/>
  <c r="P13" i="21"/>
  <c r="P30" i="21"/>
  <c r="P150" i="21"/>
  <c r="P152" i="21" s="1"/>
  <c r="P138" i="21"/>
  <c r="P139" i="21" s="1"/>
  <c r="P87" i="21"/>
  <c r="P88" i="21" s="1"/>
  <c r="P161" i="21" s="1"/>
  <c r="D100" i="21"/>
  <c r="D161" i="21" s="1"/>
  <c r="P12" i="21"/>
  <c r="P110" i="21"/>
  <c r="P117" i="21" s="1"/>
  <c r="P57" i="21"/>
  <c r="P63" i="21" s="1"/>
  <c r="D70" i="21"/>
  <c r="H67" i="21"/>
  <c r="H86" i="21" s="1"/>
  <c r="H162" i="21" s="1"/>
  <c r="H164" i="21" s="1"/>
  <c r="H182" i="21" s="1"/>
  <c r="P153" i="21"/>
  <c r="P160" i="21" s="1"/>
  <c r="P130" i="21"/>
  <c r="P137" i="21" s="1"/>
  <c r="I150" i="20"/>
  <c r="I38" i="20"/>
  <c r="M37" i="20"/>
  <c r="M38" i="20" s="1"/>
  <c r="P67" i="20"/>
  <c r="L166" i="20"/>
  <c r="G150" i="20"/>
  <c r="L150" i="20"/>
  <c r="L151" i="20" s="1"/>
  <c r="L38" i="20"/>
  <c r="K151" i="20"/>
  <c r="P101" i="20"/>
  <c r="O38" i="20"/>
  <c r="M80" i="20"/>
  <c r="M151" i="20" s="1"/>
  <c r="K38" i="20"/>
  <c r="F80" i="20"/>
  <c r="H80" i="20"/>
  <c r="H151" i="20" s="1"/>
  <c r="E150" i="20"/>
  <c r="P118" i="20"/>
  <c r="I166" i="20"/>
  <c r="J37" i="20"/>
  <c r="J38" i="20" s="1"/>
  <c r="G80" i="20"/>
  <c r="G151" i="20" s="1"/>
  <c r="G153" i="20" s="1"/>
  <c r="G168" i="20" s="1"/>
  <c r="P113" i="20"/>
  <c r="N166" i="20"/>
  <c r="K166" i="20"/>
  <c r="O166" i="20"/>
  <c r="G166" i="20"/>
  <c r="P32" i="20"/>
  <c r="E80" i="20"/>
  <c r="H166" i="20"/>
  <c r="N150" i="20"/>
  <c r="N151" i="20" s="1"/>
  <c r="O150" i="20"/>
  <c r="H15" i="20"/>
  <c r="P36" i="20"/>
  <c r="D37" i="20"/>
  <c r="P25" i="20"/>
  <c r="H37" i="20"/>
  <c r="I80" i="20"/>
  <c r="I151" i="20" s="1"/>
  <c r="P70" i="20"/>
  <c r="P79" i="20"/>
  <c r="P140" i="20"/>
  <c r="D166" i="20"/>
  <c r="P174" i="20"/>
  <c r="P175" i="20" s="1"/>
  <c r="O80" i="20"/>
  <c r="F15" i="20"/>
  <c r="F38" i="20" s="1"/>
  <c r="D20" i="20"/>
  <c r="P20" i="20" s="1"/>
  <c r="P19" i="20"/>
  <c r="E37" i="20"/>
  <c r="E38" i="20" s="1"/>
  <c r="F150" i="20"/>
  <c r="E166" i="20"/>
  <c r="P10" i="20"/>
  <c r="P27" i="20"/>
  <c r="P33" i="20"/>
  <c r="P142" i="20"/>
  <c r="P45" i="20"/>
  <c r="P54" i="20" s="1"/>
  <c r="J54" i="20"/>
  <c r="J80" i="20" s="1"/>
  <c r="J151" i="20" s="1"/>
  <c r="P56" i="20"/>
  <c r="P102" i="20"/>
  <c r="P108" i="20" s="1"/>
  <c r="P119" i="20"/>
  <c r="P125" i="20" s="1"/>
  <c r="P155" i="20"/>
  <c r="P158" i="20" s="1"/>
  <c r="P159" i="20" s="1"/>
  <c r="P166" i="20" s="1"/>
  <c r="P26" i="20"/>
  <c r="P141" i="20"/>
  <c r="P147" i="20" s="1"/>
  <c r="P160" i="20"/>
  <c r="P164" i="20" s="1"/>
  <c r="P165" i="20" s="1"/>
  <c r="N25" i="20"/>
  <c r="N37" i="20" s="1"/>
  <c r="N38" i="20" s="1"/>
  <c r="N153" i="20" s="1"/>
  <c r="N168" i="20" s="1"/>
  <c r="P55" i="20"/>
  <c r="D125" i="20"/>
  <c r="P31" i="20"/>
  <c r="P129" i="20"/>
  <c r="P137" i="20" s="1"/>
  <c r="D174" i="20"/>
  <c r="D175" i="20" s="1"/>
  <c r="D113" i="20"/>
  <c r="D67" i="20"/>
  <c r="D80" i="20" s="1"/>
  <c r="D101" i="20"/>
  <c r="D150" i="20" s="1"/>
  <c r="D14" i="20"/>
  <c r="P14" i="20" s="1"/>
  <c r="D140" i="20"/>
  <c r="P81" i="20"/>
  <c r="P82" i="20" s="1"/>
  <c r="D128" i="20"/>
  <c r="G37" i="19"/>
  <c r="H36" i="19"/>
  <c r="H37" i="19" s="1"/>
  <c r="M94" i="19"/>
  <c r="P132" i="19"/>
  <c r="E186" i="19"/>
  <c r="F36" i="19"/>
  <c r="P55" i="19"/>
  <c r="P94" i="19" s="1"/>
  <c r="G186" i="19"/>
  <c r="P158" i="19"/>
  <c r="F94" i="19"/>
  <c r="F170" i="19" s="1"/>
  <c r="M169" i="19"/>
  <c r="M170" i="19" s="1"/>
  <c r="I186" i="19"/>
  <c r="O170" i="19"/>
  <c r="E19" i="19"/>
  <c r="E37" i="19" s="1"/>
  <c r="P18" i="19"/>
  <c r="J36" i="19"/>
  <c r="J37" i="19" s="1"/>
  <c r="J94" i="19"/>
  <c r="P74" i="19"/>
  <c r="J186" i="19"/>
  <c r="P19" i="19"/>
  <c r="K36" i="19"/>
  <c r="O186" i="19"/>
  <c r="K186" i="19"/>
  <c r="K37" i="19"/>
  <c r="L36" i="19"/>
  <c r="I170" i="19"/>
  <c r="I172" i="19" s="1"/>
  <c r="I188" i="19" s="1"/>
  <c r="E94" i="19"/>
  <c r="H94" i="19"/>
  <c r="H170" i="19" s="1"/>
  <c r="L94" i="19"/>
  <c r="E169" i="19"/>
  <c r="G169" i="19"/>
  <c r="O36" i="19"/>
  <c r="O37" i="19" s="1"/>
  <c r="O172" i="19" s="1"/>
  <c r="O188" i="19" s="1"/>
  <c r="L170" i="19"/>
  <c r="J169" i="19"/>
  <c r="L186" i="19"/>
  <c r="L15" i="19"/>
  <c r="K169" i="19"/>
  <c r="K170" i="19" s="1"/>
  <c r="P116" i="19"/>
  <c r="P128" i="19"/>
  <c r="M186" i="19"/>
  <c r="M15" i="19"/>
  <c r="M37" i="19" s="1"/>
  <c r="F15" i="19"/>
  <c r="F37" i="19" s="1"/>
  <c r="P25" i="19"/>
  <c r="P93" i="19"/>
  <c r="N169" i="19"/>
  <c r="N170" i="19" s="1"/>
  <c r="N172" i="19" s="1"/>
  <c r="N188" i="19" s="1"/>
  <c r="P192" i="19"/>
  <c r="P193" i="19" s="1"/>
  <c r="E25" i="19"/>
  <c r="E36" i="19" s="1"/>
  <c r="D93" i="19"/>
  <c r="O184" i="19"/>
  <c r="O185" i="19" s="1"/>
  <c r="P12" i="19"/>
  <c r="P75" i="19"/>
  <c r="P77" i="19" s="1"/>
  <c r="D30" i="19"/>
  <c r="P30" i="19" s="1"/>
  <c r="P97" i="19"/>
  <c r="P101" i="19" s="1"/>
  <c r="D155" i="19"/>
  <c r="P69" i="19"/>
  <c r="P28" i="19"/>
  <c r="P68" i="19"/>
  <c r="P71" i="19" s="1"/>
  <c r="P159" i="19"/>
  <c r="P165" i="19" s="1"/>
  <c r="D35" i="19"/>
  <c r="P35" i="19" s="1"/>
  <c r="G93" i="19"/>
  <c r="G94" i="19" s="1"/>
  <c r="G170" i="19" s="1"/>
  <c r="P102" i="19"/>
  <c r="P106" i="19" s="1"/>
  <c r="P16" i="19"/>
  <c r="P130" i="19"/>
  <c r="D143" i="19"/>
  <c r="D192" i="19"/>
  <c r="D193" i="19" s="1"/>
  <c r="P56" i="19"/>
  <c r="P67" i="19" s="1"/>
  <c r="P39" i="19"/>
  <c r="P40" i="19" s="1"/>
  <c r="P41" i="19" s="1"/>
  <c r="D74" i="19"/>
  <c r="D94" i="19" s="1"/>
  <c r="P95" i="19"/>
  <c r="P96" i="19" s="1"/>
  <c r="P117" i="19"/>
  <c r="P123" i="19" s="1"/>
  <c r="D158" i="19"/>
  <c r="D169" i="19" s="1"/>
  <c r="D177" i="19"/>
  <c r="D178" i="19" s="1"/>
  <c r="D186" i="19" s="1"/>
  <c r="D9" i="19"/>
  <c r="P133" i="19"/>
  <c r="P140" i="19" s="1"/>
  <c r="H38" i="20" l="1"/>
  <c r="O151" i="20"/>
  <c r="P162" i="21"/>
  <c r="G164" i="21"/>
  <c r="G182" i="21" s="1"/>
  <c r="J164" i="21"/>
  <c r="J182" i="21" s="1"/>
  <c r="I162" i="21"/>
  <c r="D162" i="21"/>
  <c r="I164" i="21"/>
  <c r="I182" i="21" s="1"/>
  <c r="L164" i="21"/>
  <c r="L182" i="21" s="1"/>
  <c r="K164" i="21"/>
  <c r="K182" i="21" s="1"/>
  <c r="E164" i="21"/>
  <c r="E182" i="21" s="1"/>
  <c r="P180" i="21"/>
  <c r="F151" i="20"/>
  <c r="F153" i="20" s="1"/>
  <c r="F168" i="20" s="1"/>
  <c r="J170" i="19"/>
  <c r="E151" i="20"/>
  <c r="E153" i="20" s="1"/>
  <c r="E168" i="20" s="1"/>
  <c r="P19" i="21"/>
  <c r="D39" i="21"/>
  <c r="M164" i="21"/>
  <c r="M182" i="21" s="1"/>
  <c r="P38" i="21"/>
  <c r="D151" i="20"/>
  <c r="M153" i="20"/>
  <c r="M168" i="20" s="1"/>
  <c r="J153" i="20"/>
  <c r="J168" i="20" s="1"/>
  <c r="H153" i="20"/>
  <c r="H168" i="20" s="1"/>
  <c r="P150" i="20"/>
  <c r="L153" i="20"/>
  <c r="L168" i="20" s="1"/>
  <c r="D15" i="20"/>
  <c r="K153" i="20"/>
  <c r="K168" i="20" s="1"/>
  <c r="I153" i="20"/>
  <c r="I168" i="20" s="1"/>
  <c r="P37" i="20"/>
  <c r="P61" i="20"/>
  <c r="P80" i="20" s="1"/>
  <c r="P151" i="20" s="1"/>
  <c r="E170" i="19"/>
  <c r="E172" i="19" s="1"/>
  <c r="E188" i="19" s="1"/>
  <c r="O153" i="20"/>
  <c r="O168" i="20" s="1"/>
  <c r="D170" i="19"/>
  <c r="H172" i="19"/>
  <c r="H188" i="19" s="1"/>
  <c r="J172" i="19"/>
  <c r="J188" i="19" s="1"/>
  <c r="P169" i="19"/>
  <c r="P170" i="19" s="1"/>
  <c r="F172" i="19"/>
  <c r="F188" i="19" s="1"/>
  <c r="K172" i="19"/>
  <c r="K188" i="19" s="1"/>
  <c r="D15" i="19"/>
  <c r="P9" i="19"/>
  <c r="L37" i="19"/>
  <c r="L172" i="19" s="1"/>
  <c r="L188" i="19" s="1"/>
  <c r="D36" i="19"/>
  <c r="P36" i="19" s="1"/>
  <c r="G172" i="19"/>
  <c r="G188" i="19" s="1"/>
  <c r="M172" i="19"/>
  <c r="M188" i="19" s="1"/>
  <c r="P39" i="21" l="1"/>
  <c r="P164" i="21" s="1"/>
  <c r="P182" i="21" s="1"/>
  <c r="D164" i="21"/>
  <c r="D182" i="21" s="1"/>
  <c r="D38" i="20"/>
  <c r="P15" i="20"/>
  <c r="D37" i="19"/>
  <c r="P15" i="19"/>
  <c r="D153" i="20" l="1"/>
  <c r="D168" i="20" s="1"/>
  <c r="P38" i="20"/>
  <c r="P153" i="20" s="1"/>
  <c r="P168" i="20" s="1"/>
  <c r="P37" i="19"/>
  <c r="P172" i="19" s="1"/>
  <c r="P188" i="19" s="1"/>
  <c r="D172" i="19"/>
  <c r="D188" i="19" s="1"/>
  <c r="N38" i="1" l="1"/>
  <c r="N39" i="1"/>
  <c r="N40" i="1"/>
  <c r="F117" i="11"/>
  <c r="F115" i="11"/>
  <c r="F114" i="11"/>
  <c r="F99" i="11"/>
  <c r="F94" i="11"/>
  <c r="F93" i="11"/>
  <c r="F87" i="11"/>
  <c r="F86" i="11"/>
  <c r="F84" i="11"/>
  <c r="F83" i="11"/>
  <c r="F73" i="11"/>
  <c r="F72" i="11"/>
  <c r="F71" i="11"/>
  <c r="F69" i="11"/>
  <c r="F65" i="11"/>
  <c r="F61" i="11"/>
  <c r="F50" i="11"/>
  <c r="F49" i="11"/>
  <c r="F46" i="11"/>
  <c r="F34" i="11"/>
  <c r="F32" i="11"/>
  <c r="F29" i="11"/>
  <c r="F25" i="11"/>
  <c r="F21" i="11"/>
  <c r="F18" i="11"/>
  <c r="F15" i="11"/>
  <c r="F14" i="11"/>
  <c r="F4" i="11"/>
  <c r="F3" i="11"/>
  <c r="C11" i="11"/>
  <c r="D11" i="11"/>
  <c r="E11" i="11"/>
  <c r="C12" i="11"/>
  <c r="D12" i="11"/>
  <c r="E12" i="11"/>
  <c r="B115" i="17"/>
  <c r="G114" i="17"/>
  <c r="E114" i="17"/>
  <c r="D114" i="17"/>
  <c r="F114" i="17" s="1"/>
  <c r="H114" i="17" s="1"/>
  <c r="G113" i="17"/>
  <c r="E113" i="17"/>
  <c r="F113" i="17" s="1"/>
  <c r="H113" i="17" s="1"/>
  <c r="F113" i="11" s="1"/>
  <c r="D113" i="17"/>
  <c r="G112" i="17"/>
  <c r="E112" i="17"/>
  <c r="D112" i="17"/>
  <c r="F112" i="17" s="1"/>
  <c r="H112" i="17" s="1"/>
  <c r="F112" i="11" s="1"/>
  <c r="G111" i="17"/>
  <c r="F111" i="17"/>
  <c r="H111" i="17" s="1"/>
  <c r="F111" i="11" s="1"/>
  <c r="E111" i="17"/>
  <c r="D111" i="17"/>
  <c r="G110" i="17"/>
  <c r="E110" i="17"/>
  <c r="D110" i="17"/>
  <c r="F110" i="17" s="1"/>
  <c r="H110" i="17" s="1"/>
  <c r="F110" i="11" s="1"/>
  <c r="G109" i="17"/>
  <c r="F109" i="17"/>
  <c r="H109" i="17" s="1"/>
  <c r="F109" i="11" s="1"/>
  <c r="E109" i="17"/>
  <c r="D109" i="17"/>
  <c r="G108" i="17"/>
  <c r="E108" i="17"/>
  <c r="D108" i="17"/>
  <c r="F108" i="17" s="1"/>
  <c r="H108" i="17" s="1"/>
  <c r="F108" i="11" s="1"/>
  <c r="G107" i="17"/>
  <c r="E107" i="17"/>
  <c r="D107" i="17"/>
  <c r="F107" i="17" s="1"/>
  <c r="H107" i="17" s="1"/>
  <c r="F107" i="11" s="1"/>
  <c r="H106" i="17"/>
  <c r="F106" i="11" s="1"/>
  <c r="G106" i="17"/>
  <c r="F106" i="17"/>
  <c r="E106" i="17"/>
  <c r="D106" i="17"/>
  <c r="G105" i="17"/>
  <c r="E105" i="17"/>
  <c r="D105" i="17"/>
  <c r="F105" i="17" s="1"/>
  <c r="H105" i="17" s="1"/>
  <c r="F105" i="11" s="1"/>
  <c r="G104" i="17"/>
  <c r="E104" i="17"/>
  <c r="D104" i="17"/>
  <c r="F104" i="17" s="1"/>
  <c r="G103" i="17"/>
  <c r="B103" i="17"/>
  <c r="G102" i="17"/>
  <c r="E102" i="17"/>
  <c r="D102" i="17"/>
  <c r="F102" i="17" s="1"/>
  <c r="H102" i="17" s="1"/>
  <c r="F102" i="11" s="1"/>
  <c r="G101" i="17"/>
  <c r="E101" i="17"/>
  <c r="D101" i="17"/>
  <c r="F101" i="17" s="1"/>
  <c r="G100" i="17"/>
  <c r="B100" i="17"/>
  <c r="G99" i="17"/>
  <c r="G98" i="17" s="1"/>
  <c r="F99" i="17"/>
  <c r="H99" i="17" s="1"/>
  <c r="E99" i="17"/>
  <c r="D99" i="17"/>
  <c r="B98" i="17"/>
  <c r="G97" i="17"/>
  <c r="E97" i="17"/>
  <c r="D97" i="17"/>
  <c r="F97" i="17" s="1"/>
  <c r="H97" i="17" s="1"/>
  <c r="F97" i="11" s="1"/>
  <c r="G96" i="17"/>
  <c r="G95" i="17" s="1"/>
  <c r="G115" i="17" s="1"/>
  <c r="E96" i="17"/>
  <c r="D96" i="17"/>
  <c r="F96" i="17" s="1"/>
  <c r="B95" i="17"/>
  <c r="B92" i="17"/>
  <c r="G91" i="17"/>
  <c r="E91" i="17"/>
  <c r="D91" i="17"/>
  <c r="F91" i="17" s="1"/>
  <c r="H91" i="17" s="1"/>
  <c r="F91" i="11" s="1"/>
  <c r="G90" i="17"/>
  <c r="G88" i="17" s="1"/>
  <c r="G92" i="17" s="1"/>
  <c r="F90" i="17"/>
  <c r="H90" i="17" s="1"/>
  <c r="F90" i="11" s="1"/>
  <c r="E90" i="17"/>
  <c r="D90" i="17"/>
  <c r="G89" i="17"/>
  <c r="E89" i="17"/>
  <c r="D89" i="17"/>
  <c r="F89" i="17" s="1"/>
  <c r="B88" i="17"/>
  <c r="B85" i="17"/>
  <c r="G84" i="17"/>
  <c r="E84" i="17"/>
  <c r="F84" i="17" s="1"/>
  <c r="H84" i="17" s="1"/>
  <c r="G83" i="17"/>
  <c r="F83" i="17"/>
  <c r="H83" i="17" s="1"/>
  <c r="L58" i="1" s="1"/>
  <c r="E83" i="17"/>
  <c r="D83" i="17"/>
  <c r="G82" i="17"/>
  <c r="E82" i="17"/>
  <c r="D82" i="17"/>
  <c r="F82" i="17" s="1"/>
  <c r="H82" i="17" s="1"/>
  <c r="F82" i="11" s="1"/>
  <c r="G81" i="17"/>
  <c r="F81" i="17"/>
  <c r="H81" i="17" s="1"/>
  <c r="F81" i="11" s="1"/>
  <c r="E81" i="17"/>
  <c r="D81" i="17"/>
  <c r="G80" i="17"/>
  <c r="E80" i="17"/>
  <c r="D80" i="17"/>
  <c r="F80" i="17" s="1"/>
  <c r="H80" i="17" s="1"/>
  <c r="F80" i="11" s="1"/>
  <c r="G79" i="17"/>
  <c r="E79" i="17"/>
  <c r="D79" i="17"/>
  <c r="F79" i="17" s="1"/>
  <c r="H79" i="17" s="1"/>
  <c r="F79" i="11" s="1"/>
  <c r="H78" i="17"/>
  <c r="F78" i="11" s="1"/>
  <c r="G78" i="17"/>
  <c r="F78" i="17"/>
  <c r="E78" i="17"/>
  <c r="D78" i="17"/>
  <c r="G77" i="17"/>
  <c r="E77" i="17"/>
  <c r="D77" i="17"/>
  <c r="F77" i="17" s="1"/>
  <c r="H77" i="17" s="1"/>
  <c r="F77" i="11" s="1"/>
  <c r="G76" i="17"/>
  <c r="E76" i="17"/>
  <c r="D76" i="17"/>
  <c r="F76" i="17" s="1"/>
  <c r="H76" i="17" s="1"/>
  <c r="F76" i="11" s="1"/>
  <c r="G75" i="17"/>
  <c r="G74" i="17" s="1"/>
  <c r="G85" i="17" s="1"/>
  <c r="E75" i="17"/>
  <c r="D75" i="17"/>
  <c r="F75" i="17" s="1"/>
  <c r="B74" i="17"/>
  <c r="B67" i="17"/>
  <c r="F66" i="17"/>
  <c r="H66" i="17" s="1"/>
  <c r="F65" i="17"/>
  <c r="H65" i="17" s="1"/>
  <c r="F64" i="11" s="1"/>
  <c r="F64" i="17"/>
  <c r="H64" i="17" s="1"/>
  <c r="F63" i="11" s="1"/>
  <c r="F63" i="17"/>
  <c r="H63" i="17" s="1"/>
  <c r="F62" i="11" s="1"/>
  <c r="H62" i="17"/>
  <c r="F60" i="11" s="1"/>
  <c r="F62" i="17"/>
  <c r="H61" i="17"/>
  <c r="F59" i="11" s="1"/>
  <c r="F61" i="17"/>
  <c r="F60" i="17"/>
  <c r="H60" i="17" s="1"/>
  <c r="F58" i="11" s="1"/>
  <c r="F59" i="17"/>
  <c r="H59" i="17" s="1"/>
  <c r="F57" i="11" s="1"/>
  <c r="F58" i="17"/>
  <c r="H58" i="17" s="1"/>
  <c r="F56" i="11" s="1"/>
  <c r="F57" i="17"/>
  <c r="H57" i="17" s="1"/>
  <c r="F55" i="11" s="1"/>
  <c r="F56" i="17"/>
  <c r="H56" i="17" s="1"/>
  <c r="F54" i="11" s="1"/>
  <c r="F55" i="17"/>
  <c r="H55" i="17" s="1"/>
  <c r="F53" i="11" s="1"/>
  <c r="H54" i="17"/>
  <c r="F52" i="11" s="1"/>
  <c r="F54" i="17"/>
  <c r="F53" i="17"/>
  <c r="H53" i="17" s="1"/>
  <c r="F51" i="11" s="1"/>
  <c r="F52" i="17"/>
  <c r="H52" i="17" s="1"/>
  <c r="F51" i="17"/>
  <c r="H51" i="17" s="1"/>
  <c r="F50" i="17"/>
  <c r="H50" i="17" s="1"/>
  <c r="F48" i="11" s="1"/>
  <c r="F49" i="17"/>
  <c r="H49" i="17" s="1"/>
  <c r="F47" i="11" s="1"/>
  <c r="F48" i="17"/>
  <c r="H48" i="17" s="1"/>
  <c r="F45" i="11" s="1"/>
  <c r="F47" i="17"/>
  <c r="H47" i="17" s="1"/>
  <c r="F44" i="11" s="1"/>
  <c r="G46" i="17"/>
  <c r="B46" i="17"/>
  <c r="F45" i="17"/>
  <c r="H45" i="17" s="1"/>
  <c r="F42" i="11" s="1"/>
  <c r="F44" i="17"/>
  <c r="H44" i="17" s="1"/>
  <c r="F41" i="11" s="1"/>
  <c r="F43" i="17"/>
  <c r="F42" i="17" s="1"/>
  <c r="H42" i="17" s="1"/>
  <c r="F39" i="11" s="1"/>
  <c r="G42" i="17"/>
  <c r="B42" i="17"/>
  <c r="F41" i="17"/>
  <c r="H41" i="17" s="1"/>
  <c r="F38" i="11" s="1"/>
  <c r="F40" i="17"/>
  <c r="H40" i="17" s="1"/>
  <c r="F37" i="11" s="1"/>
  <c r="H39" i="17"/>
  <c r="F36" i="11" s="1"/>
  <c r="F39" i="17"/>
  <c r="F38" i="17"/>
  <c r="H38" i="17" s="1"/>
  <c r="F35" i="11" s="1"/>
  <c r="F37" i="17"/>
  <c r="H37" i="17" s="1"/>
  <c r="F36" i="17"/>
  <c r="F35" i="17" s="1"/>
  <c r="H35" i="17" s="1"/>
  <c r="F31" i="11" s="1"/>
  <c r="G35" i="17"/>
  <c r="B35" i="17"/>
  <c r="F34" i="17"/>
  <c r="H34" i="17" s="1"/>
  <c r="F30" i="11" s="1"/>
  <c r="F33" i="17"/>
  <c r="H33" i="17" s="1"/>
  <c r="F67" i="11" s="1"/>
  <c r="H32" i="17"/>
  <c r="F66" i="11" s="1"/>
  <c r="F32" i="17"/>
  <c r="F31" i="17"/>
  <c r="H31" i="17" s="1"/>
  <c r="F28" i="11" s="1"/>
  <c r="F30" i="17"/>
  <c r="H30" i="17" s="1"/>
  <c r="F27" i="11" s="1"/>
  <c r="F29" i="17"/>
  <c r="H29" i="17" s="1"/>
  <c r="F26" i="11" s="1"/>
  <c r="F28" i="17"/>
  <c r="H28" i="17" s="1"/>
  <c r="F24" i="11" s="1"/>
  <c r="F27" i="17"/>
  <c r="H27" i="17" s="1"/>
  <c r="F23" i="11" s="1"/>
  <c r="F26" i="17"/>
  <c r="H26" i="17" s="1"/>
  <c r="F22" i="11" s="1"/>
  <c r="H25" i="17"/>
  <c r="F25" i="17"/>
  <c r="H24" i="17"/>
  <c r="F20" i="11" s="1"/>
  <c r="F24" i="17"/>
  <c r="F23" i="17"/>
  <c r="H23" i="17" s="1"/>
  <c r="F19" i="11" s="1"/>
  <c r="F22" i="17"/>
  <c r="G21" i="17"/>
  <c r="B21" i="17"/>
  <c r="B18" i="17"/>
  <c r="F17" i="17"/>
  <c r="H17" i="17" s="1"/>
  <c r="F12" i="11" s="1"/>
  <c r="F16" i="17"/>
  <c r="H16" i="17" s="1"/>
  <c r="F11" i="11" s="1"/>
  <c r="F15" i="17"/>
  <c r="H15" i="17" s="1"/>
  <c r="F10" i="11" s="1"/>
  <c r="F14" i="17"/>
  <c r="H14" i="17" s="1"/>
  <c r="F9" i="11" s="1"/>
  <c r="F13" i="17"/>
  <c r="G12" i="17"/>
  <c r="G18" i="17" s="1"/>
  <c r="B12" i="17"/>
  <c r="F11" i="17"/>
  <c r="H11" i="17" s="1"/>
  <c r="F6" i="11" s="1"/>
  <c r="G10" i="17"/>
  <c r="F10" i="17"/>
  <c r="B10" i="17"/>
  <c r="B5" i="17"/>
  <c r="L36" i="1"/>
  <c r="L35" i="1"/>
  <c r="L34" i="1"/>
  <c r="L33" i="1"/>
  <c r="L31" i="1"/>
  <c r="L30" i="1"/>
  <c r="L29" i="1"/>
  <c r="L28" i="1"/>
  <c r="L27" i="1"/>
  <c r="L26" i="1"/>
  <c r="L25" i="1"/>
  <c r="L24" i="1"/>
  <c r="L19" i="1"/>
  <c r="L18" i="1"/>
  <c r="L17" i="1"/>
  <c r="L16" i="1"/>
  <c r="L13" i="1"/>
  <c r="L11" i="1"/>
  <c r="L10" i="1"/>
  <c r="L9" i="1"/>
  <c r="C214" i="10"/>
  <c r="D214" i="10"/>
  <c r="E214" i="10"/>
  <c r="F214" i="10"/>
  <c r="G214" i="10"/>
  <c r="H214" i="10"/>
  <c r="I214" i="10"/>
  <c r="G232" i="10"/>
  <c r="H230" i="10"/>
  <c r="G230" i="10"/>
  <c r="G229" i="10"/>
  <c r="H228" i="10"/>
  <c r="G228" i="10"/>
  <c r="H227" i="10"/>
  <c r="G227" i="10"/>
  <c r="H226" i="10"/>
  <c r="G226" i="10"/>
  <c r="H225" i="10"/>
  <c r="G225" i="10"/>
  <c r="H223" i="10"/>
  <c r="G223" i="10"/>
  <c r="H219" i="10"/>
  <c r="G219" i="10"/>
  <c r="H218" i="10"/>
  <c r="G218" i="10"/>
  <c r="H217" i="10"/>
  <c r="G217" i="10"/>
  <c r="H216" i="10"/>
  <c r="G216" i="10"/>
  <c r="H215" i="10"/>
  <c r="G215" i="10"/>
  <c r="H213" i="10"/>
  <c r="G213" i="10"/>
  <c r="H212" i="10"/>
  <c r="G212" i="10"/>
  <c r="H209" i="10"/>
  <c r="G209" i="10"/>
  <c r="H208" i="10"/>
  <c r="G208" i="10"/>
  <c r="H207" i="10"/>
  <c r="G207" i="10"/>
  <c r="H206" i="10"/>
  <c r="G206" i="10"/>
  <c r="H205" i="10"/>
  <c r="G205" i="10"/>
  <c r="H204" i="10"/>
  <c r="G204" i="10"/>
  <c r="H203" i="10"/>
  <c r="G203" i="10"/>
  <c r="H201" i="10"/>
  <c r="G201" i="10"/>
  <c r="H197" i="10"/>
  <c r="G197" i="10"/>
  <c r="H196" i="10"/>
  <c r="G196" i="10"/>
  <c r="H194" i="10"/>
  <c r="G194" i="10"/>
  <c r="H193" i="10"/>
  <c r="G193" i="10"/>
  <c r="H192" i="10"/>
  <c r="G192" i="10"/>
  <c r="H191" i="10"/>
  <c r="G191" i="10"/>
  <c r="H190" i="10"/>
  <c r="G190" i="10"/>
  <c r="H189" i="10"/>
  <c r="G189" i="10"/>
  <c r="H188" i="10"/>
  <c r="G188" i="10"/>
  <c r="H187" i="10"/>
  <c r="G187" i="10"/>
  <c r="H186" i="10"/>
  <c r="G186" i="10"/>
  <c r="H184" i="10"/>
  <c r="G184" i="10"/>
  <c r="H183" i="10"/>
  <c r="G183" i="10"/>
  <c r="H181" i="10"/>
  <c r="G181" i="10"/>
  <c r="H180" i="10"/>
  <c r="G180" i="10"/>
  <c r="H179" i="10"/>
  <c r="G179" i="10"/>
  <c r="H178" i="10"/>
  <c r="G178" i="10"/>
  <c r="H177" i="10"/>
  <c r="G177" i="10"/>
  <c r="H176" i="10"/>
  <c r="G176" i="10"/>
  <c r="H175" i="10"/>
  <c r="G175" i="10"/>
  <c r="H174" i="10"/>
  <c r="G174" i="10"/>
  <c r="H173" i="10"/>
  <c r="G173" i="10"/>
  <c r="H172" i="10"/>
  <c r="G172" i="10"/>
  <c r="H171" i="10"/>
  <c r="G171" i="10"/>
  <c r="G170" i="10"/>
  <c r="H169" i="10"/>
  <c r="G169" i="10"/>
  <c r="H168" i="10"/>
  <c r="G168" i="10"/>
  <c r="H166" i="10"/>
  <c r="G166" i="10"/>
  <c r="H165" i="10"/>
  <c r="G165" i="10"/>
  <c r="H164" i="10"/>
  <c r="G164" i="10"/>
  <c r="H163" i="10"/>
  <c r="G163" i="10"/>
  <c r="H162" i="10"/>
  <c r="G162" i="10"/>
  <c r="H161" i="10"/>
  <c r="G161" i="10"/>
  <c r="H160" i="10"/>
  <c r="G160" i="10"/>
  <c r="H158" i="10"/>
  <c r="G158" i="10"/>
  <c r="H157" i="10"/>
  <c r="G157" i="10"/>
  <c r="H156" i="10"/>
  <c r="G156" i="10"/>
  <c r="H155" i="10"/>
  <c r="G155" i="10"/>
  <c r="H153" i="10"/>
  <c r="G153" i="10"/>
  <c r="H152" i="10"/>
  <c r="G152" i="10"/>
  <c r="H151" i="10"/>
  <c r="G151" i="10"/>
  <c r="H150" i="10"/>
  <c r="G150" i="10"/>
  <c r="H149" i="10"/>
  <c r="G149" i="10"/>
  <c r="H147" i="10"/>
  <c r="G147" i="10"/>
  <c r="H146" i="10"/>
  <c r="G146" i="10"/>
  <c r="H145" i="10"/>
  <c r="G145" i="10"/>
  <c r="H144" i="10"/>
  <c r="G144" i="10"/>
  <c r="H143" i="10"/>
  <c r="G143" i="10"/>
  <c r="H142" i="10"/>
  <c r="G142" i="10"/>
  <c r="H141" i="10"/>
  <c r="G141" i="10"/>
  <c r="H139" i="10"/>
  <c r="G139" i="10"/>
  <c r="H138" i="10"/>
  <c r="G138" i="10"/>
  <c r="H137" i="10"/>
  <c r="G137" i="10"/>
  <c r="H136" i="10"/>
  <c r="G136" i="10"/>
  <c r="H134" i="10"/>
  <c r="G134" i="10"/>
  <c r="H133" i="10"/>
  <c r="G133" i="10"/>
  <c r="H132" i="10"/>
  <c r="G132" i="10"/>
  <c r="H131" i="10"/>
  <c r="G131" i="10"/>
  <c r="G130" i="10"/>
  <c r="H129" i="10"/>
  <c r="G129" i="10"/>
  <c r="H128" i="10"/>
  <c r="G128" i="10"/>
  <c r="H127" i="10"/>
  <c r="G127" i="10"/>
  <c r="H126" i="10"/>
  <c r="G126" i="10"/>
  <c r="H125" i="10"/>
  <c r="G125" i="10"/>
  <c r="H123" i="10"/>
  <c r="G123" i="10"/>
  <c r="H122" i="10"/>
  <c r="G122" i="10"/>
  <c r="H121" i="10"/>
  <c r="G121" i="10"/>
  <c r="H120" i="10"/>
  <c r="G120" i="10"/>
  <c r="H119" i="10"/>
  <c r="G119" i="10"/>
  <c r="H117" i="10"/>
  <c r="G117" i="10"/>
  <c r="H114" i="10"/>
  <c r="G114" i="10"/>
  <c r="H113" i="10"/>
  <c r="G113" i="10"/>
  <c r="H112" i="10"/>
  <c r="G112" i="10"/>
  <c r="H111" i="10"/>
  <c r="G111" i="10"/>
  <c r="H110" i="10"/>
  <c r="G110" i="10"/>
  <c r="H109" i="10"/>
  <c r="G109" i="10"/>
  <c r="H108" i="10"/>
  <c r="G108" i="10"/>
  <c r="H107" i="10"/>
  <c r="G107" i="10"/>
  <c r="H106" i="10"/>
  <c r="G106" i="10"/>
  <c r="H105" i="10"/>
  <c r="G105" i="10"/>
  <c r="H104" i="10"/>
  <c r="G104" i="10"/>
  <c r="H102" i="10"/>
  <c r="G102" i="10"/>
  <c r="H101" i="10"/>
  <c r="G101" i="10"/>
  <c r="H100" i="10"/>
  <c r="G100" i="10"/>
  <c r="H99" i="10"/>
  <c r="G99" i="10"/>
  <c r="H98" i="10"/>
  <c r="G98" i="10"/>
  <c r="H97" i="10"/>
  <c r="G97" i="10"/>
  <c r="H96" i="10"/>
  <c r="G96" i="10"/>
  <c r="H95" i="10"/>
  <c r="G95" i="10"/>
  <c r="H94" i="10"/>
  <c r="G94" i="10"/>
  <c r="H93" i="10"/>
  <c r="G93" i="10"/>
  <c r="H91" i="10"/>
  <c r="G91" i="10"/>
  <c r="H90" i="10"/>
  <c r="G90" i="10"/>
  <c r="H89" i="10"/>
  <c r="G89" i="10"/>
  <c r="H87" i="10"/>
  <c r="G87" i="10"/>
  <c r="H86" i="10"/>
  <c r="G86" i="10"/>
  <c r="H84" i="10"/>
  <c r="G84" i="10"/>
  <c r="H83" i="10"/>
  <c r="G83" i="10"/>
  <c r="H82" i="10"/>
  <c r="G82" i="10"/>
  <c r="H81" i="10"/>
  <c r="H80" i="10"/>
  <c r="G80" i="10"/>
  <c r="H79" i="10"/>
  <c r="G79" i="10"/>
  <c r="H78" i="10"/>
  <c r="G78" i="10"/>
  <c r="H77" i="10"/>
  <c r="G77" i="10"/>
  <c r="H76" i="10"/>
  <c r="G76" i="10"/>
  <c r="H75" i="10"/>
  <c r="G75" i="10"/>
  <c r="H74" i="10"/>
  <c r="G74" i="10"/>
  <c r="H73" i="10"/>
  <c r="G73" i="10"/>
  <c r="H72" i="10"/>
  <c r="G72" i="10"/>
  <c r="H71" i="10"/>
  <c r="G71" i="10"/>
  <c r="H70" i="10"/>
  <c r="G70" i="10"/>
  <c r="H69" i="10"/>
  <c r="G69" i="10"/>
  <c r="H68" i="10"/>
  <c r="G68" i="10"/>
  <c r="H66" i="10"/>
  <c r="G66" i="10"/>
  <c r="H65" i="10"/>
  <c r="G65" i="10"/>
  <c r="H64" i="10"/>
  <c r="G64" i="10"/>
  <c r="H63" i="10"/>
  <c r="G63" i="10"/>
  <c r="H62" i="10"/>
  <c r="G62" i="10"/>
  <c r="H61" i="10"/>
  <c r="G61" i="10"/>
  <c r="H60" i="10"/>
  <c r="G60" i="10"/>
  <c r="H59" i="10"/>
  <c r="G59" i="10"/>
  <c r="H58" i="10"/>
  <c r="G58" i="10"/>
  <c r="H57" i="10"/>
  <c r="G57" i="10"/>
  <c r="H56" i="10"/>
  <c r="G56" i="10"/>
  <c r="H55" i="10"/>
  <c r="G55" i="10"/>
  <c r="H54" i="10"/>
  <c r="G54" i="10"/>
  <c r="H53" i="10"/>
  <c r="G53" i="10"/>
  <c r="H52" i="10"/>
  <c r="G52" i="10"/>
  <c r="H51" i="10"/>
  <c r="G51" i="10"/>
  <c r="H49" i="10"/>
  <c r="H48" i="10"/>
  <c r="G48" i="10"/>
  <c r="H47" i="10"/>
  <c r="G47" i="10"/>
  <c r="H46" i="10"/>
  <c r="G46" i="10"/>
  <c r="H45" i="10"/>
  <c r="G45" i="10"/>
  <c r="H41" i="10"/>
  <c r="G41" i="10"/>
  <c r="H40" i="10"/>
  <c r="G40" i="10"/>
  <c r="H39" i="10"/>
  <c r="G39" i="10"/>
  <c r="H38" i="10"/>
  <c r="G38" i="10"/>
  <c r="G37" i="10"/>
  <c r="H36" i="10"/>
  <c r="G36" i="10"/>
  <c r="H34" i="10"/>
  <c r="G34" i="10"/>
  <c r="H33" i="10"/>
  <c r="G33" i="10"/>
  <c r="H32" i="10"/>
  <c r="G32" i="10"/>
  <c r="H31" i="10"/>
  <c r="G31" i="10"/>
  <c r="H29" i="10"/>
  <c r="G29" i="10"/>
  <c r="H28" i="10"/>
  <c r="G28" i="10"/>
  <c r="H27" i="10"/>
  <c r="G27" i="10"/>
  <c r="H26" i="10"/>
  <c r="G26" i="10"/>
  <c r="H25" i="10"/>
  <c r="G25" i="10"/>
  <c r="H23" i="10"/>
  <c r="G23" i="10"/>
  <c r="H22" i="10"/>
  <c r="G22" i="10"/>
  <c r="H21" i="10"/>
  <c r="G21" i="10"/>
  <c r="H20" i="10"/>
  <c r="G20" i="10"/>
  <c r="H19" i="10"/>
  <c r="G19" i="10"/>
  <c r="H17" i="10"/>
  <c r="H16" i="10"/>
  <c r="G16" i="10"/>
  <c r="H15" i="10"/>
  <c r="G15" i="10"/>
  <c r="H14" i="10"/>
  <c r="G14" i="10"/>
  <c r="H13" i="10"/>
  <c r="G13" i="10"/>
  <c r="H12" i="10"/>
  <c r="G12" i="10"/>
  <c r="H11" i="10"/>
  <c r="G11" i="10"/>
  <c r="H10" i="10"/>
  <c r="G10" i="10"/>
  <c r="H9" i="10"/>
  <c r="G9" i="10"/>
  <c r="H7" i="10"/>
  <c r="G7" i="10"/>
  <c r="H5" i="10"/>
  <c r="G5" i="10"/>
  <c r="H4" i="10"/>
  <c r="G4" i="10"/>
  <c r="H3" i="10"/>
  <c r="G3" i="10"/>
  <c r="D221" i="16"/>
  <c r="D220" i="16"/>
  <c r="G231" i="10" s="1"/>
  <c r="B220" i="16"/>
  <c r="R219" i="16"/>
  <c r="N219" i="16"/>
  <c r="Q219" i="16" s="1"/>
  <c r="M219" i="16"/>
  <c r="O219" i="16" s="1"/>
  <c r="I219" i="16"/>
  <c r="H219" i="16"/>
  <c r="E219" i="16"/>
  <c r="D219" i="16"/>
  <c r="J219" i="16" s="1"/>
  <c r="R218" i="16"/>
  <c r="U218" i="16" s="1"/>
  <c r="Q218" i="16"/>
  <c r="O218" i="16"/>
  <c r="N218" i="16"/>
  <c r="M218" i="16"/>
  <c r="I218" i="16"/>
  <c r="L218" i="16" s="1"/>
  <c r="E218" i="16"/>
  <c r="H218" i="16" s="1"/>
  <c r="D218" i="16"/>
  <c r="J218" i="16" s="1"/>
  <c r="R217" i="16"/>
  <c r="N217" i="16"/>
  <c r="Q217" i="16" s="1"/>
  <c r="M217" i="16"/>
  <c r="I217" i="16"/>
  <c r="E217" i="16"/>
  <c r="H217" i="16" s="1"/>
  <c r="D217" i="16"/>
  <c r="J217" i="16" s="1"/>
  <c r="R216" i="16"/>
  <c r="N216" i="16"/>
  <c r="Q216" i="16" s="1"/>
  <c r="M216" i="16"/>
  <c r="S216" i="16" s="1"/>
  <c r="U216" i="16" s="1"/>
  <c r="J216" i="16"/>
  <c r="L216" i="16" s="1"/>
  <c r="I216" i="16"/>
  <c r="E216" i="16"/>
  <c r="H216" i="16" s="1"/>
  <c r="D216" i="16"/>
  <c r="F216" i="16" s="1"/>
  <c r="R215" i="16"/>
  <c r="N215" i="16"/>
  <c r="M215" i="16"/>
  <c r="I215" i="16"/>
  <c r="H215" i="16"/>
  <c r="E215" i="16"/>
  <c r="D215" i="16"/>
  <c r="F215" i="16" s="1"/>
  <c r="R209" i="16"/>
  <c r="B209" i="16"/>
  <c r="R208" i="16"/>
  <c r="Q208" i="16"/>
  <c r="N208" i="16"/>
  <c r="M208" i="16"/>
  <c r="O208" i="16" s="1"/>
  <c r="I208" i="16"/>
  <c r="L208" i="16" s="1"/>
  <c r="F208" i="16"/>
  <c r="E208" i="16"/>
  <c r="H208" i="16" s="1"/>
  <c r="D208" i="16"/>
  <c r="J208" i="16" s="1"/>
  <c r="R207" i="16"/>
  <c r="N207" i="16"/>
  <c r="Q207" i="16" s="1"/>
  <c r="M207" i="16"/>
  <c r="I207" i="16"/>
  <c r="H207" i="16"/>
  <c r="E207" i="16"/>
  <c r="D207" i="16"/>
  <c r="J207" i="16" s="1"/>
  <c r="L207" i="16" s="1"/>
  <c r="R206" i="16"/>
  <c r="N206" i="16"/>
  <c r="Q206" i="16" s="1"/>
  <c r="M206" i="16"/>
  <c r="I206" i="16"/>
  <c r="E206" i="16"/>
  <c r="H206" i="16" s="1"/>
  <c r="D206" i="16"/>
  <c r="J206" i="16" s="1"/>
  <c r="L206" i="16" s="1"/>
  <c r="R205" i="16"/>
  <c r="N205" i="16"/>
  <c r="Q205" i="16" s="1"/>
  <c r="M205" i="16"/>
  <c r="S205" i="16" s="1"/>
  <c r="J205" i="16"/>
  <c r="I205" i="16"/>
  <c r="F205" i="16"/>
  <c r="E205" i="16"/>
  <c r="H205" i="16" s="1"/>
  <c r="D205" i="16"/>
  <c r="U204" i="16"/>
  <c r="R204" i="16"/>
  <c r="Q204" i="16"/>
  <c r="N204" i="16"/>
  <c r="M204" i="16"/>
  <c r="S204" i="16" s="1"/>
  <c r="I204" i="16"/>
  <c r="L204" i="16" s="1"/>
  <c r="H204" i="16"/>
  <c r="F204" i="16"/>
  <c r="E204" i="16"/>
  <c r="D204" i="16"/>
  <c r="R203" i="16"/>
  <c r="N203" i="16"/>
  <c r="N209" i="16" s="1"/>
  <c r="Q209" i="16" s="1"/>
  <c r="M203" i="16"/>
  <c r="M209" i="16" s="1"/>
  <c r="I203" i="16"/>
  <c r="I209" i="16" s="1"/>
  <c r="E203" i="16"/>
  <c r="D203" i="16"/>
  <c r="M202" i="16"/>
  <c r="E202" i="16"/>
  <c r="H202" i="16" s="1"/>
  <c r="D202" i="16"/>
  <c r="B202" i="16"/>
  <c r="U201" i="16"/>
  <c r="R201" i="16"/>
  <c r="R202" i="16" s="1"/>
  <c r="N201" i="16"/>
  <c r="Q201" i="16" s="1"/>
  <c r="M201" i="16"/>
  <c r="S201" i="16" s="1"/>
  <c r="I201" i="16"/>
  <c r="L201" i="16" s="1"/>
  <c r="E201" i="16"/>
  <c r="H201" i="16" s="1"/>
  <c r="D201" i="16"/>
  <c r="J201" i="16" s="1"/>
  <c r="R200" i="16"/>
  <c r="R199" i="16"/>
  <c r="B199" i="16"/>
  <c r="R198" i="16"/>
  <c r="U198" i="16" s="1"/>
  <c r="O198" i="16"/>
  <c r="Q198" i="16" s="1"/>
  <c r="N198" i="16"/>
  <c r="M198" i="16"/>
  <c r="L198" i="16"/>
  <c r="I198" i="16"/>
  <c r="E198" i="16"/>
  <c r="D198" i="16"/>
  <c r="J198" i="16" s="1"/>
  <c r="R197" i="16"/>
  <c r="U197" i="16" s="1"/>
  <c r="N197" i="16"/>
  <c r="Q197" i="16" s="1"/>
  <c r="M197" i="16"/>
  <c r="L197" i="16"/>
  <c r="I197" i="16"/>
  <c r="E197" i="16"/>
  <c r="H197" i="16" s="1"/>
  <c r="D197" i="16"/>
  <c r="J197" i="16" s="1"/>
  <c r="R196" i="16"/>
  <c r="U196" i="16" s="1"/>
  <c r="N196" i="16"/>
  <c r="Q196" i="16" s="1"/>
  <c r="M196" i="16"/>
  <c r="S196" i="16" s="1"/>
  <c r="I196" i="16"/>
  <c r="L196" i="16" s="1"/>
  <c r="F196" i="16"/>
  <c r="E196" i="16"/>
  <c r="H196" i="16" s="1"/>
  <c r="D196" i="16"/>
  <c r="R195" i="16"/>
  <c r="N195" i="16"/>
  <c r="Q195" i="16" s="1"/>
  <c r="M195" i="16"/>
  <c r="S195" i="16" s="1"/>
  <c r="U195" i="16" s="1"/>
  <c r="I195" i="16"/>
  <c r="H195" i="16"/>
  <c r="F195" i="16"/>
  <c r="E195" i="16"/>
  <c r="D195" i="16"/>
  <c r="R194" i="16"/>
  <c r="N194" i="16"/>
  <c r="Q194" i="16" s="1"/>
  <c r="M194" i="16"/>
  <c r="S194" i="16" s="1"/>
  <c r="I194" i="16"/>
  <c r="E194" i="16"/>
  <c r="H194" i="16" s="1"/>
  <c r="D194" i="16"/>
  <c r="J194" i="16" s="1"/>
  <c r="R193" i="16"/>
  <c r="O193" i="16"/>
  <c r="N193" i="16"/>
  <c r="N199" i="16" s="1"/>
  <c r="N200" i="16" s="1"/>
  <c r="M193" i="16"/>
  <c r="M199" i="16" s="1"/>
  <c r="I193" i="16"/>
  <c r="I199" i="16" s="1"/>
  <c r="E193" i="16"/>
  <c r="E199" i="16" s="1"/>
  <c r="H210" i="10" s="1"/>
  <c r="D193" i="16"/>
  <c r="N187" i="16"/>
  <c r="Q187" i="16" s="1"/>
  <c r="M187" i="16"/>
  <c r="D187" i="16"/>
  <c r="B187" i="16"/>
  <c r="R186" i="16"/>
  <c r="R187" i="16" s="1"/>
  <c r="N186" i="16"/>
  <c r="Q186" i="16" s="1"/>
  <c r="M186" i="16"/>
  <c r="J186" i="16"/>
  <c r="L186" i="16" s="1"/>
  <c r="I186" i="16"/>
  <c r="I187" i="16" s="1"/>
  <c r="E186" i="16"/>
  <c r="H186" i="16" s="1"/>
  <c r="D186" i="16"/>
  <c r="B185" i="16"/>
  <c r="R184" i="16"/>
  <c r="Q184" i="16"/>
  <c r="O184" i="16"/>
  <c r="N184" i="16"/>
  <c r="M184" i="16"/>
  <c r="S184" i="16" s="1"/>
  <c r="I184" i="16"/>
  <c r="F184" i="16"/>
  <c r="H184" i="16" s="1"/>
  <c r="E184" i="16"/>
  <c r="D184" i="16"/>
  <c r="U183" i="16"/>
  <c r="R183" i="16"/>
  <c r="N183" i="16"/>
  <c r="Q183" i="16" s="1"/>
  <c r="M183" i="16"/>
  <c r="S183" i="16" s="1"/>
  <c r="I183" i="16"/>
  <c r="L183" i="16" s="1"/>
  <c r="E183" i="16"/>
  <c r="H183" i="16" s="1"/>
  <c r="D183" i="16"/>
  <c r="J183" i="16" s="1"/>
  <c r="R182" i="16"/>
  <c r="N182" i="16"/>
  <c r="M182" i="16"/>
  <c r="S182" i="16" s="1"/>
  <c r="I182" i="16"/>
  <c r="E182" i="16"/>
  <c r="D182" i="16"/>
  <c r="U181" i="16"/>
  <c r="S181" i="16"/>
  <c r="R181" i="16"/>
  <c r="N181" i="16"/>
  <c r="Q181" i="16" s="1"/>
  <c r="M181" i="16"/>
  <c r="I181" i="16"/>
  <c r="L181" i="16" s="1"/>
  <c r="H181" i="16"/>
  <c r="E181" i="16"/>
  <c r="D181" i="16"/>
  <c r="J181" i="16" s="1"/>
  <c r="S180" i="16"/>
  <c r="R180" i="16"/>
  <c r="N180" i="16"/>
  <c r="M180" i="16"/>
  <c r="O180" i="16" s="1"/>
  <c r="Q180" i="16" s="1"/>
  <c r="I180" i="16"/>
  <c r="F180" i="16"/>
  <c r="E180" i="16"/>
  <c r="D180" i="16"/>
  <c r="J180" i="16" s="1"/>
  <c r="L180" i="16" s="1"/>
  <c r="R179" i="16"/>
  <c r="N179" i="16"/>
  <c r="M179" i="16"/>
  <c r="I179" i="16"/>
  <c r="E179" i="16"/>
  <c r="D179" i="16"/>
  <c r="J179" i="16" s="1"/>
  <c r="R178" i="16"/>
  <c r="N178" i="16"/>
  <c r="M178" i="16"/>
  <c r="L178" i="16"/>
  <c r="I178" i="16"/>
  <c r="F178" i="16"/>
  <c r="H178" i="16" s="1"/>
  <c r="E178" i="16"/>
  <c r="D178" i="16"/>
  <c r="J178" i="16" s="1"/>
  <c r="R177" i="16"/>
  <c r="N177" i="16"/>
  <c r="M177" i="16"/>
  <c r="S177" i="16" s="1"/>
  <c r="I177" i="16"/>
  <c r="I185" i="16" s="1"/>
  <c r="E177" i="16"/>
  <c r="D177" i="16"/>
  <c r="F177" i="16" s="1"/>
  <c r="I176" i="16"/>
  <c r="B176" i="16"/>
  <c r="R175" i="16"/>
  <c r="O175" i="16"/>
  <c r="N175" i="16"/>
  <c r="Q175" i="16" s="1"/>
  <c r="M175" i="16"/>
  <c r="S175" i="16" s="1"/>
  <c r="U175" i="16" s="1"/>
  <c r="I175" i="16"/>
  <c r="E175" i="16"/>
  <c r="D175" i="16"/>
  <c r="R174" i="16"/>
  <c r="N174" i="16"/>
  <c r="M174" i="16"/>
  <c r="S174" i="16" s="1"/>
  <c r="I174" i="16"/>
  <c r="E174" i="16"/>
  <c r="D174" i="16"/>
  <c r="B173" i="16"/>
  <c r="U172" i="16"/>
  <c r="S172" i="16"/>
  <c r="R172" i="16"/>
  <c r="O172" i="16"/>
  <c r="N172" i="16"/>
  <c r="Q172" i="16" s="1"/>
  <c r="M172" i="16"/>
  <c r="I172" i="16"/>
  <c r="E172" i="16"/>
  <c r="D172" i="16"/>
  <c r="J172" i="16" s="1"/>
  <c r="R171" i="16"/>
  <c r="N171" i="16"/>
  <c r="M171" i="16"/>
  <c r="O171" i="16" s="1"/>
  <c r="Q171" i="16" s="1"/>
  <c r="I171" i="16"/>
  <c r="F171" i="16"/>
  <c r="E171" i="16"/>
  <c r="D171" i="16"/>
  <c r="J171" i="16" s="1"/>
  <c r="L171" i="16" s="1"/>
  <c r="R170" i="16"/>
  <c r="U170" i="16" s="1"/>
  <c r="Q170" i="16"/>
  <c r="N170" i="16"/>
  <c r="O170" i="16" s="1"/>
  <c r="M170" i="16"/>
  <c r="I170" i="16"/>
  <c r="L170" i="16" s="1"/>
  <c r="E170" i="16"/>
  <c r="H170" i="16" s="1"/>
  <c r="D170" i="16"/>
  <c r="J170" i="16" s="1"/>
  <c r="R169" i="16"/>
  <c r="N169" i="16"/>
  <c r="M169" i="16"/>
  <c r="I169" i="16"/>
  <c r="H169" i="16"/>
  <c r="F169" i="16"/>
  <c r="E169" i="16"/>
  <c r="D169" i="16"/>
  <c r="J169" i="16" s="1"/>
  <c r="L169" i="16" s="1"/>
  <c r="R168" i="16"/>
  <c r="U168" i="16" s="1"/>
  <c r="N168" i="16"/>
  <c r="M168" i="16"/>
  <c r="S168" i="16" s="1"/>
  <c r="I168" i="16"/>
  <c r="E168" i="16"/>
  <c r="D168" i="16"/>
  <c r="F168" i="16" s="1"/>
  <c r="R167" i="16"/>
  <c r="O167" i="16"/>
  <c r="Q167" i="16" s="1"/>
  <c r="N167" i="16"/>
  <c r="M167" i="16"/>
  <c r="S167" i="16" s="1"/>
  <c r="I167" i="16"/>
  <c r="H167" i="16"/>
  <c r="F167" i="16"/>
  <c r="E167" i="16"/>
  <c r="D167" i="16"/>
  <c r="R166" i="16"/>
  <c r="N166" i="16"/>
  <c r="Q166" i="16" s="1"/>
  <c r="M166" i="16"/>
  <c r="S166" i="16" s="1"/>
  <c r="U166" i="16" s="1"/>
  <c r="I166" i="16"/>
  <c r="E166" i="16"/>
  <c r="H166" i="16" s="1"/>
  <c r="D166" i="16"/>
  <c r="J166" i="16" s="1"/>
  <c r="R165" i="16"/>
  <c r="U165" i="16" s="1"/>
  <c r="Q165" i="16"/>
  <c r="N165" i="16"/>
  <c r="M165" i="16"/>
  <c r="S165" i="16" s="1"/>
  <c r="L165" i="16"/>
  <c r="I165" i="16"/>
  <c r="E165" i="16"/>
  <c r="H165" i="16" s="1"/>
  <c r="D165" i="16"/>
  <c r="U164" i="16"/>
  <c r="S164" i="16"/>
  <c r="R164" i="16"/>
  <c r="O164" i="16"/>
  <c r="N164" i="16"/>
  <c r="M164" i="16"/>
  <c r="I164" i="16"/>
  <c r="E164" i="16"/>
  <c r="D164" i="16"/>
  <c r="J164" i="16" s="1"/>
  <c r="S163" i="16"/>
  <c r="R163" i="16"/>
  <c r="N163" i="16"/>
  <c r="M163" i="16"/>
  <c r="O163" i="16" s="1"/>
  <c r="Q163" i="16" s="1"/>
  <c r="I163" i="16"/>
  <c r="E163" i="16"/>
  <c r="D163" i="16"/>
  <c r="J163" i="16" s="1"/>
  <c r="L163" i="16" s="1"/>
  <c r="R162" i="16"/>
  <c r="D162" i="16"/>
  <c r="B162" i="16"/>
  <c r="R161" i="16"/>
  <c r="N161" i="16"/>
  <c r="Q161" i="16" s="1"/>
  <c r="M161" i="16"/>
  <c r="S161" i="16" s="1"/>
  <c r="I161" i="16"/>
  <c r="L161" i="16" s="1"/>
  <c r="H161" i="16"/>
  <c r="E161" i="16"/>
  <c r="D161" i="16"/>
  <c r="J161" i="16" s="1"/>
  <c r="R160" i="16"/>
  <c r="N160" i="16"/>
  <c r="M160" i="16"/>
  <c r="J160" i="16"/>
  <c r="L160" i="16" s="1"/>
  <c r="I160" i="16"/>
  <c r="F160" i="16"/>
  <c r="E160" i="16"/>
  <c r="D160" i="16"/>
  <c r="I159" i="16"/>
  <c r="B159" i="16"/>
  <c r="U158" i="16"/>
  <c r="R158" i="16"/>
  <c r="Q158" i="16"/>
  <c r="O158" i="16"/>
  <c r="N158" i="16"/>
  <c r="M158" i="16"/>
  <c r="S158" i="16" s="1"/>
  <c r="I158" i="16"/>
  <c r="H158" i="16"/>
  <c r="F158" i="16"/>
  <c r="E158" i="16"/>
  <c r="D158" i="16"/>
  <c r="R157" i="16"/>
  <c r="N157" i="16"/>
  <c r="Q157" i="16" s="1"/>
  <c r="M157" i="16"/>
  <c r="S157" i="16" s="1"/>
  <c r="U157" i="16" s="1"/>
  <c r="I157" i="16"/>
  <c r="L157" i="16" s="1"/>
  <c r="F157" i="16"/>
  <c r="E157" i="16"/>
  <c r="H157" i="16" s="1"/>
  <c r="D157" i="16"/>
  <c r="J157" i="16" s="1"/>
  <c r="R156" i="16"/>
  <c r="Q156" i="16"/>
  <c r="O156" i="16"/>
  <c r="N156" i="16"/>
  <c r="M156" i="16"/>
  <c r="S156" i="16" s="1"/>
  <c r="I156" i="16"/>
  <c r="E156" i="16"/>
  <c r="D156" i="16"/>
  <c r="S155" i="16"/>
  <c r="U155" i="16" s="1"/>
  <c r="R155" i="16"/>
  <c r="N155" i="16"/>
  <c r="Q155" i="16" s="1"/>
  <c r="M155" i="16"/>
  <c r="I155" i="16"/>
  <c r="L155" i="16" s="1"/>
  <c r="H155" i="16"/>
  <c r="E155" i="16"/>
  <c r="D155" i="16"/>
  <c r="J155" i="16" s="1"/>
  <c r="R154" i="16"/>
  <c r="N154" i="16"/>
  <c r="M154" i="16"/>
  <c r="O154" i="16" s="1"/>
  <c r="Q154" i="16" s="1"/>
  <c r="I154" i="16"/>
  <c r="E154" i="16"/>
  <c r="D154" i="16"/>
  <c r="J154" i="16" s="1"/>
  <c r="L154" i="16" s="1"/>
  <c r="R153" i="16"/>
  <c r="R159" i="16" s="1"/>
  <c r="O153" i="16"/>
  <c r="N153" i="16"/>
  <c r="M153" i="16"/>
  <c r="I153" i="16"/>
  <c r="E153" i="16"/>
  <c r="D153" i="16"/>
  <c r="R152" i="16"/>
  <c r="N152" i="16"/>
  <c r="M152" i="16"/>
  <c r="I152" i="16"/>
  <c r="F152" i="16"/>
  <c r="H152" i="16" s="1"/>
  <c r="E152" i="16"/>
  <c r="E159" i="16" s="1"/>
  <c r="H167" i="10" s="1"/>
  <c r="D152" i="16"/>
  <c r="J152" i="16" s="1"/>
  <c r="L152" i="16" s="1"/>
  <c r="M151" i="16"/>
  <c r="I151" i="16"/>
  <c r="B151" i="16"/>
  <c r="R150" i="16"/>
  <c r="U150" i="16" s="1"/>
  <c r="N150" i="16"/>
  <c r="M150" i="16"/>
  <c r="S150" i="16" s="1"/>
  <c r="I150" i="16"/>
  <c r="E150" i="16"/>
  <c r="D150" i="16"/>
  <c r="F150" i="16" s="1"/>
  <c r="H150" i="16" s="1"/>
  <c r="U149" i="16"/>
  <c r="S149" i="16"/>
  <c r="R149" i="16"/>
  <c r="N149" i="16"/>
  <c r="Q149" i="16" s="1"/>
  <c r="M149" i="16"/>
  <c r="I149" i="16"/>
  <c r="L149" i="16" s="1"/>
  <c r="H149" i="16"/>
  <c r="F149" i="16"/>
  <c r="E149" i="16"/>
  <c r="D149" i="16"/>
  <c r="S148" i="16"/>
  <c r="R148" i="16"/>
  <c r="N148" i="16"/>
  <c r="M148" i="16"/>
  <c r="O148" i="16" s="1"/>
  <c r="Q148" i="16" s="1"/>
  <c r="I148" i="16"/>
  <c r="E148" i="16"/>
  <c r="D148" i="16"/>
  <c r="R147" i="16"/>
  <c r="O147" i="16"/>
  <c r="Q147" i="16" s="1"/>
  <c r="N147" i="16"/>
  <c r="M147" i="16"/>
  <c r="S147" i="16" s="1"/>
  <c r="U147" i="16" s="1"/>
  <c r="I147" i="16"/>
  <c r="E147" i="16"/>
  <c r="D147" i="16"/>
  <c r="R146" i="16"/>
  <c r="R151" i="16" s="1"/>
  <c r="N146" i="16"/>
  <c r="Q146" i="16" s="1"/>
  <c r="M146" i="16"/>
  <c r="O146" i="16" s="1"/>
  <c r="I146" i="16"/>
  <c r="H146" i="16"/>
  <c r="F146" i="16"/>
  <c r="E146" i="16"/>
  <c r="D146" i="16"/>
  <c r="J146" i="16" s="1"/>
  <c r="L146" i="16" s="1"/>
  <c r="R145" i="16"/>
  <c r="B145" i="16"/>
  <c r="R144" i="16"/>
  <c r="N144" i="16"/>
  <c r="M144" i="16"/>
  <c r="J144" i="16"/>
  <c r="I144" i="16"/>
  <c r="L144" i="16" s="1"/>
  <c r="E144" i="16"/>
  <c r="D144" i="16"/>
  <c r="F144" i="16" s="1"/>
  <c r="H144" i="16" s="1"/>
  <c r="R143" i="16"/>
  <c r="N143" i="16"/>
  <c r="M143" i="16"/>
  <c r="I143" i="16"/>
  <c r="H143" i="16"/>
  <c r="F143" i="16"/>
  <c r="E143" i="16"/>
  <c r="D143" i="16"/>
  <c r="J143" i="16" s="1"/>
  <c r="L143" i="16" s="1"/>
  <c r="R142" i="16"/>
  <c r="N142" i="16"/>
  <c r="M142" i="16"/>
  <c r="S142" i="16" s="1"/>
  <c r="I142" i="16"/>
  <c r="E142" i="16"/>
  <c r="D142" i="16"/>
  <c r="F142" i="16" s="1"/>
  <c r="U141" i="16"/>
  <c r="R141" i="16"/>
  <c r="Q141" i="16"/>
  <c r="O141" i="16"/>
  <c r="N141" i="16"/>
  <c r="M141" i="16"/>
  <c r="S141" i="16" s="1"/>
  <c r="I141" i="16"/>
  <c r="H141" i="16"/>
  <c r="F141" i="16"/>
  <c r="E141" i="16"/>
  <c r="D141" i="16"/>
  <c r="R140" i="16"/>
  <c r="N140" i="16"/>
  <c r="M140" i="16"/>
  <c r="I140" i="16"/>
  <c r="I145" i="16" s="1"/>
  <c r="E140" i="16"/>
  <c r="D140" i="16"/>
  <c r="D139" i="16"/>
  <c r="G148" i="10" s="1"/>
  <c r="B139" i="16"/>
  <c r="R138" i="16"/>
  <c r="N138" i="16"/>
  <c r="O138" i="16" s="1"/>
  <c r="Q138" i="16" s="1"/>
  <c r="M138" i="16"/>
  <c r="S138" i="16" s="1"/>
  <c r="U138" i="16" s="1"/>
  <c r="I138" i="16"/>
  <c r="E138" i="16"/>
  <c r="D138" i="16"/>
  <c r="J138" i="16" s="1"/>
  <c r="R137" i="16"/>
  <c r="N137" i="16"/>
  <c r="M137" i="16"/>
  <c r="O137" i="16" s="1"/>
  <c r="I137" i="16"/>
  <c r="F137" i="16"/>
  <c r="E137" i="16"/>
  <c r="D137" i="16"/>
  <c r="J137" i="16" s="1"/>
  <c r="L137" i="16" s="1"/>
  <c r="R136" i="16"/>
  <c r="Q136" i="16"/>
  <c r="O136" i="16"/>
  <c r="N136" i="16"/>
  <c r="M136" i="16"/>
  <c r="I136" i="16"/>
  <c r="E136" i="16"/>
  <c r="D136" i="16"/>
  <c r="J136" i="16" s="1"/>
  <c r="L136" i="16" s="1"/>
  <c r="R135" i="16"/>
  <c r="N135" i="16"/>
  <c r="Q135" i="16" s="1"/>
  <c r="M135" i="16"/>
  <c r="S135" i="16" s="1"/>
  <c r="I135" i="16"/>
  <c r="L135" i="16" s="1"/>
  <c r="H135" i="16"/>
  <c r="F135" i="16"/>
  <c r="E135" i="16"/>
  <c r="D135" i="16"/>
  <c r="J135" i="16" s="1"/>
  <c r="R134" i="16"/>
  <c r="N134" i="16"/>
  <c r="M134" i="16"/>
  <c r="J134" i="16"/>
  <c r="L134" i="16" s="1"/>
  <c r="I134" i="16"/>
  <c r="F134" i="16"/>
  <c r="E134" i="16"/>
  <c r="D134" i="16"/>
  <c r="R133" i="16"/>
  <c r="N133" i="16"/>
  <c r="M133" i="16"/>
  <c r="S133" i="16" s="1"/>
  <c r="J133" i="16"/>
  <c r="I133" i="16"/>
  <c r="E133" i="16"/>
  <c r="D133" i="16"/>
  <c r="F133" i="16" s="1"/>
  <c r="H133" i="16" s="1"/>
  <c r="S132" i="16"/>
  <c r="U132" i="16" s="1"/>
  <c r="R132" i="16"/>
  <c r="N132" i="16"/>
  <c r="M132" i="16"/>
  <c r="I132" i="16"/>
  <c r="E132" i="16"/>
  <c r="E139" i="16" s="1"/>
  <c r="H148" i="10" s="1"/>
  <c r="D132" i="16"/>
  <c r="E131" i="16"/>
  <c r="H140" i="10" s="1"/>
  <c r="D131" i="16"/>
  <c r="G140" i="10" s="1"/>
  <c r="B131" i="16"/>
  <c r="R130" i="16"/>
  <c r="U130" i="16" s="1"/>
  <c r="O130" i="16"/>
  <c r="Q130" i="16" s="1"/>
  <c r="N130" i="16"/>
  <c r="M130" i="16"/>
  <c r="S130" i="16" s="1"/>
  <c r="I130" i="16"/>
  <c r="L130" i="16" s="1"/>
  <c r="E130" i="16"/>
  <c r="D130" i="16"/>
  <c r="S129" i="16"/>
  <c r="U129" i="16" s="1"/>
  <c r="R129" i="16"/>
  <c r="O129" i="16"/>
  <c r="N129" i="16"/>
  <c r="M129" i="16"/>
  <c r="I129" i="16"/>
  <c r="E129" i="16"/>
  <c r="D129" i="16"/>
  <c r="J129" i="16" s="1"/>
  <c r="L129" i="16" s="1"/>
  <c r="R128" i="16"/>
  <c r="S128" i="16" s="1"/>
  <c r="Q128" i="16"/>
  <c r="N128" i="16"/>
  <c r="M128" i="16"/>
  <c r="O128" i="16" s="1"/>
  <c r="J128" i="16"/>
  <c r="L128" i="16" s="1"/>
  <c r="I128" i="16"/>
  <c r="E128" i="16"/>
  <c r="D128" i="16"/>
  <c r="F128" i="16" s="1"/>
  <c r="R127" i="16"/>
  <c r="N127" i="16"/>
  <c r="N131" i="16" s="1"/>
  <c r="M127" i="16"/>
  <c r="M131" i="16" s="1"/>
  <c r="J127" i="16"/>
  <c r="I127" i="16"/>
  <c r="L127" i="16" s="1"/>
  <c r="H127" i="16"/>
  <c r="F127" i="16"/>
  <c r="E127" i="16"/>
  <c r="D127" i="16"/>
  <c r="N126" i="16"/>
  <c r="B126" i="16"/>
  <c r="R125" i="16"/>
  <c r="U125" i="16" s="1"/>
  <c r="N125" i="16"/>
  <c r="M125" i="16"/>
  <c r="L125" i="16"/>
  <c r="J125" i="16"/>
  <c r="I125" i="16"/>
  <c r="E125" i="16"/>
  <c r="D125" i="16"/>
  <c r="F125" i="16" s="1"/>
  <c r="R124" i="16"/>
  <c r="N124" i="16"/>
  <c r="M124" i="16"/>
  <c r="S124" i="16" s="1"/>
  <c r="U124" i="16" s="1"/>
  <c r="J124" i="16"/>
  <c r="I124" i="16"/>
  <c r="E124" i="16"/>
  <c r="D124" i="16"/>
  <c r="F124" i="16" s="1"/>
  <c r="H124" i="16" s="1"/>
  <c r="S123" i="16"/>
  <c r="U123" i="16" s="1"/>
  <c r="R123" i="16"/>
  <c r="N123" i="16"/>
  <c r="M123" i="16"/>
  <c r="O123" i="16" s="1"/>
  <c r="I123" i="16"/>
  <c r="E123" i="16"/>
  <c r="D123" i="16"/>
  <c r="S122" i="16"/>
  <c r="R122" i="16"/>
  <c r="Q122" i="16"/>
  <c r="O122" i="16"/>
  <c r="N122" i="16"/>
  <c r="M122" i="16"/>
  <c r="I122" i="16"/>
  <c r="I126" i="16" s="1"/>
  <c r="E122" i="16"/>
  <c r="D122" i="16"/>
  <c r="D121" i="16"/>
  <c r="B121" i="16"/>
  <c r="S120" i="16"/>
  <c r="U120" i="16" s="1"/>
  <c r="R120" i="16"/>
  <c r="N120" i="16"/>
  <c r="M120" i="16"/>
  <c r="O120" i="16" s="1"/>
  <c r="I120" i="16"/>
  <c r="E120" i="16"/>
  <c r="D120" i="16"/>
  <c r="J120" i="16" s="1"/>
  <c r="L120" i="16" s="1"/>
  <c r="R119" i="16"/>
  <c r="Q119" i="16"/>
  <c r="N119" i="16"/>
  <c r="M119" i="16"/>
  <c r="O119" i="16" s="1"/>
  <c r="J119" i="16"/>
  <c r="L119" i="16" s="1"/>
  <c r="I119" i="16"/>
  <c r="E119" i="16"/>
  <c r="H119" i="16" s="1"/>
  <c r="D119" i="16"/>
  <c r="F119" i="16" s="1"/>
  <c r="R118" i="16"/>
  <c r="N118" i="16"/>
  <c r="M118" i="16"/>
  <c r="J118" i="16"/>
  <c r="I118" i="16"/>
  <c r="L118" i="16" s="1"/>
  <c r="H118" i="16"/>
  <c r="F118" i="16"/>
  <c r="E118" i="16"/>
  <c r="D118" i="16"/>
  <c r="R117" i="16"/>
  <c r="N117" i="16"/>
  <c r="Q117" i="16" s="1"/>
  <c r="M117" i="16"/>
  <c r="I117" i="16"/>
  <c r="E117" i="16"/>
  <c r="H117" i="16" s="1"/>
  <c r="D117" i="16"/>
  <c r="J117" i="16" s="1"/>
  <c r="L117" i="16" s="1"/>
  <c r="R116" i="16"/>
  <c r="R121" i="16" s="1"/>
  <c r="N116" i="16"/>
  <c r="M116" i="16"/>
  <c r="M121" i="16" s="1"/>
  <c r="J116" i="16"/>
  <c r="L116" i="16" s="1"/>
  <c r="I116" i="16"/>
  <c r="I121" i="16" s="1"/>
  <c r="E116" i="16"/>
  <c r="D116" i="16"/>
  <c r="F116" i="16" s="1"/>
  <c r="I115" i="16"/>
  <c r="B115" i="16"/>
  <c r="S114" i="16"/>
  <c r="U114" i="16" s="1"/>
  <c r="R114" i="16"/>
  <c r="N114" i="16"/>
  <c r="M114" i="16"/>
  <c r="O114" i="16" s="1"/>
  <c r="I114" i="16"/>
  <c r="E114" i="16"/>
  <c r="D114" i="16"/>
  <c r="S113" i="16"/>
  <c r="R113" i="16"/>
  <c r="Q113" i="16"/>
  <c r="O113" i="16"/>
  <c r="N113" i="16"/>
  <c r="M113" i="16"/>
  <c r="I113" i="16"/>
  <c r="E113" i="16"/>
  <c r="H113" i="16" s="1"/>
  <c r="D113" i="16"/>
  <c r="R112" i="16"/>
  <c r="N112" i="16"/>
  <c r="M112" i="16"/>
  <c r="S112" i="16" s="1"/>
  <c r="U112" i="16" s="1"/>
  <c r="I112" i="16"/>
  <c r="E112" i="16"/>
  <c r="D112" i="16"/>
  <c r="J112" i="16" s="1"/>
  <c r="R111" i="16"/>
  <c r="U111" i="16" s="1"/>
  <c r="N111" i="16"/>
  <c r="Q111" i="16" s="1"/>
  <c r="M111" i="16"/>
  <c r="O111" i="16" s="1"/>
  <c r="L111" i="16"/>
  <c r="J111" i="16"/>
  <c r="I111" i="16"/>
  <c r="F111" i="16"/>
  <c r="E111" i="16"/>
  <c r="H111" i="16" s="1"/>
  <c r="D111" i="16"/>
  <c r="R110" i="16"/>
  <c r="Q110" i="16"/>
  <c r="O110" i="16"/>
  <c r="N110" i="16"/>
  <c r="N115" i="16" s="1"/>
  <c r="M110" i="16"/>
  <c r="I110" i="16"/>
  <c r="E110" i="16"/>
  <c r="D110" i="16"/>
  <c r="R109" i="16"/>
  <c r="I109" i="16"/>
  <c r="B109" i="16"/>
  <c r="R108" i="16"/>
  <c r="N108" i="16"/>
  <c r="M108" i="16"/>
  <c r="I108" i="16"/>
  <c r="E108" i="16"/>
  <c r="D108" i="16"/>
  <c r="J108" i="16" s="1"/>
  <c r="L108" i="16" s="1"/>
  <c r="I106" i="16"/>
  <c r="L106" i="16" s="1"/>
  <c r="B106" i="16"/>
  <c r="U105" i="16"/>
  <c r="S105" i="16"/>
  <c r="R105" i="16"/>
  <c r="N105" i="16"/>
  <c r="Q105" i="16" s="1"/>
  <c r="M105" i="16"/>
  <c r="J105" i="16"/>
  <c r="I105" i="16"/>
  <c r="L105" i="16" s="1"/>
  <c r="E105" i="16"/>
  <c r="H105" i="16" s="1"/>
  <c r="D105" i="16"/>
  <c r="S104" i="16"/>
  <c r="R104" i="16"/>
  <c r="U104" i="16" s="1"/>
  <c r="Q104" i="16"/>
  <c r="O104" i="16"/>
  <c r="N104" i="16"/>
  <c r="N106" i="16" s="1"/>
  <c r="Q106" i="16" s="1"/>
  <c r="M104" i="16"/>
  <c r="M106" i="16" s="1"/>
  <c r="L104" i="16"/>
  <c r="I104" i="16"/>
  <c r="E104" i="16"/>
  <c r="D104" i="16"/>
  <c r="B103" i="16"/>
  <c r="U102" i="16"/>
  <c r="S102" i="16"/>
  <c r="R102" i="16"/>
  <c r="O102" i="16"/>
  <c r="N102" i="16"/>
  <c r="Q102" i="16" s="1"/>
  <c r="M102" i="16"/>
  <c r="L102" i="16"/>
  <c r="I102" i="16"/>
  <c r="H102" i="16"/>
  <c r="E102" i="16"/>
  <c r="D102" i="16"/>
  <c r="R101" i="16"/>
  <c r="U101" i="16" s="1"/>
  <c r="Q101" i="16"/>
  <c r="N101" i="16"/>
  <c r="M101" i="16"/>
  <c r="O101" i="16" s="1"/>
  <c r="L101" i="16"/>
  <c r="J101" i="16"/>
  <c r="I101" i="16"/>
  <c r="E101" i="16"/>
  <c r="D101" i="16"/>
  <c r="F101" i="16" s="1"/>
  <c r="R100" i="16"/>
  <c r="S100" i="16" s="1"/>
  <c r="O100" i="16"/>
  <c r="Q100" i="16" s="1"/>
  <c r="N100" i="16"/>
  <c r="M100" i="16"/>
  <c r="J100" i="16"/>
  <c r="I100" i="16"/>
  <c r="F100" i="16"/>
  <c r="H100" i="16" s="1"/>
  <c r="E100" i="16"/>
  <c r="D100" i="16"/>
  <c r="R99" i="16"/>
  <c r="N99" i="16"/>
  <c r="M99" i="16"/>
  <c r="S99" i="16" s="1"/>
  <c r="U99" i="16" s="1"/>
  <c r="I99" i="16"/>
  <c r="H99" i="16"/>
  <c r="F99" i="16"/>
  <c r="E99" i="16"/>
  <c r="D99" i="16"/>
  <c r="J99" i="16" s="1"/>
  <c r="L99" i="16" s="1"/>
  <c r="R98" i="16"/>
  <c r="N98" i="16"/>
  <c r="Q98" i="16" s="1"/>
  <c r="M98" i="16"/>
  <c r="I98" i="16"/>
  <c r="E98" i="16"/>
  <c r="H98" i="16" s="1"/>
  <c r="D98" i="16"/>
  <c r="F98" i="16" s="1"/>
  <c r="U97" i="16"/>
  <c r="S97" i="16"/>
  <c r="R97" i="16"/>
  <c r="O97" i="16"/>
  <c r="N97" i="16"/>
  <c r="M97" i="16"/>
  <c r="I97" i="16"/>
  <c r="F97" i="16"/>
  <c r="H97" i="16" s="1"/>
  <c r="E97" i="16"/>
  <c r="D97" i="16"/>
  <c r="R96" i="16"/>
  <c r="Q96" i="16"/>
  <c r="N96" i="16"/>
  <c r="M96" i="16"/>
  <c r="O96" i="16" s="1"/>
  <c r="I96" i="16"/>
  <c r="H96" i="16"/>
  <c r="E96" i="16"/>
  <c r="D96" i="16"/>
  <c r="R95" i="16"/>
  <c r="Q95" i="16"/>
  <c r="O95" i="16"/>
  <c r="N95" i="16"/>
  <c r="M95" i="16"/>
  <c r="S95" i="16" s="1"/>
  <c r="I95" i="16"/>
  <c r="E95" i="16"/>
  <c r="H95" i="16" s="1"/>
  <c r="D95" i="16"/>
  <c r="J95" i="16" s="1"/>
  <c r="S94" i="16"/>
  <c r="U94" i="16" s="1"/>
  <c r="R94" i="16"/>
  <c r="N94" i="16"/>
  <c r="M94" i="16"/>
  <c r="O94" i="16" s="1"/>
  <c r="I94" i="16"/>
  <c r="H94" i="16"/>
  <c r="E94" i="16"/>
  <c r="D94" i="16"/>
  <c r="R93" i="16"/>
  <c r="Q93" i="16"/>
  <c r="N93" i="16"/>
  <c r="M93" i="16"/>
  <c r="S93" i="16" s="1"/>
  <c r="U93" i="16" s="1"/>
  <c r="J93" i="16"/>
  <c r="L93" i="16" s="1"/>
  <c r="I93" i="16"/>
  <c r="E93" i="16"/>
  <c r="H93" i="16" s="1"/>
  <c r="D93" i="16"/>
  <c r="F93" i="16" s="1"/>
  <c r="I92" i="16"/>
  <c r="B92" i="16"/>
  <c r="R91" i="16"/>
  <c r="U91" i="16" s="1"/>
  <c r="N91" i="16"/>
  <c r="M91" i="16"/>
  <c r="I91" i="16"/>
  <c r="L91" i="16" s="1"/>
  <c r="H91" i="16"/>
  <c r="F91" i="16"/>
  <c r="E91" i="16"/>
  <c r="D91" i="16"/>
  <c r="J91" i="16" s="1"/>
  <c r="R90" i="16"/>
  <c r="N90" i="16"/>
  <c r="Q90" i="16" s="1"/>
  <c r="M90" i="16"/>
  <c r="S90" i="16" s="1"/>
  <c r="L90" i="16"/>
  <c r="J90" i="16"/>
  <c r="I90" i="16"/>
  <c r="E90" i="16"/>
  <c r="D90" i="16"/>
  <c r="R89" i="16"/>
  <c r="Q89" i="16"/>
  <c r="N89" i="16"/>
  <c r="M89" i="16"/>
  <c r="I89" i="16"/>
  <c r="H89" i="16"/>
  <c r="E89" i="16"/>
  <c r="D89" i="16"/>
  <c r="N88" i="16"/>
  <c r="I88" i="16"/>
  <c r="B88" i="16"/>
  <c r="R87" i="16"/>
  <c r="N87" i="16"/>
  <c r="M87" i="16"/>
  <c r="I87" i="16"/>
  <c r="E87" i="16"/>
  <c r="D87" i="16"/>
  <c r="J87" i="16" s="1"/>
  <c r="R86" i="16"/>
  <c r="O86" i="16"/>
  <c r="Q86" i="16" s="1"/>
  <c r="N86" i="16"/>
  <c r="M86" i="16"/>
  <c r="I86" i="16"/>
  <c r="E86" i="16"/>
  <c r="D86" i="16"/>
  <c r="D85" i="16"/>
  <c r="G85" i="10" s="1"/>
  <c r="B85" i="16"/>
  <c r="U84" i="16"/>
  <c r="R84" i="16"/>
  <c r="N84" i="16"/>
  <c r="Q84" i="16" s="1"/>
  <c r="M84" i="16"/>
  <c r="O84" i="16" s="1"/>
  <c r="L84" i="16"/>
  <c r="J84" i="16"/>
  <c r="I84" i="16"/>
  <c r="F84" i="16"/>
  <c r="E84" i="16"/>
  <c r="H84" i="16" s="1"/>
  <c r="D84" i="16"/>
  <c r="R83" i="16"/>
  <c r="O83" i="16"/>
  <c r="Q83" i="16" s="1"/>
  <c r="N83" i="16"/>
  <c r="M83" i="16"/>
  <c r="I83" i="16"/>
  <c r="E83" i="16"/>
  <c r="D83" i="16"/>
  <c r="F83" i="16" s="1"/>
  <c r="H83" i="16" s="1"/>
  <c r="R82" i="16"/>
  <c r="N82" i="16"/>
  <c r="M82" i="16"/>
  <c r="S82" i="16" s="1"/>
  <c r="I82" i="16"/>
  <c r="F82" i="16"/>
  <c r="H82" i="16" s="1"/>
  <c r="E82" i="16"/>
  <c r="E85" i="16" s="1"/>
  <c r="H85" i="10" s="1"/>
  <c r="D82" i="16"/>
  <c r="B81" i="16"/>
  <c r="R80" i="16"/>
  <c r="N80" i="16"/>
  <c r="M80" i="16"/>
  <c r="I80" i="16"/>
  <c r="E80" i="16"/>
  <c r="D80" i="16"/>
  <c r="F80" i="16" s="1"/>
  <c r="R79" i="16"/>
  <c r="N79" i="16"/>
  <c r="M79" i="16"/>
  <c r="S79" i="16" s="1"/>
  <c r="U79" i="16" s="1"/>
  <c r="J79" i="16"/>
  <c r="I79" i="16"/>
  <c r="L79" i="16" s="1"/>
  <c r="H79" i="16"/>
  <c r="F79" i="16"/>
  <c r="E79" i="16"/>
  <c r="D79" i="16"/>
  <c r="R78" i="16"/>
  <c r="Q78" i="16"/>
  <c r="N78" i="16"/>
  <c r="M78" i="16"/>
  <c r="O78" i="16" s="1"/>
  <c r="I78" i="16"/>
  <c r="E78" i="16"/>
  <c r="D78" i="16"/>
  <c r="J78" i="16" s="1"/>
  <c r="R77" i="16"/>
  <c r="Q77" i="16"/>
  <c r="O77" i="16"/>
  <c r="N77" i="16"/>
  <c r="M77" i="16"/>
  <c r="I77" i="16"/>
  <c r="L77" i="16" s="1"/>
  <c r="H77" i="16"/>
  <c r="E77" i="16"/>
  <c r="D77" i="16"/>
  <c r="J77" i="16" s="1"/>
  <c r="U76" i="16"/>
  <c r="R76" i="16"/>
  <c r="N76" i="16"/>
  <c r="Q76" i="16" s="1"/>
  <c r="M76" i="16"/>
  <c r="S76" i="16" s="1"/>
  <c r="L76" i="16"/>
  <c r="I76" i="16"/>
  <c r="H76" i="16"/>
  <c r="E76" i="16"/>
  <c r="D76" i="16"/>
  <c r="R75" i="16"/>
  <c r="N75" i="16"/>
  <c r="Q75" i="16" s="1"/>
  <c r="M75" i="16"/>
  <c r="O75" i="16" s="1"/>
  <c r="I75" i="16"/>
  <c r="E75" i="16"/>
  <c r="H75" i="16" s="1"/>
  <c r="D75" i="16"/>
  <c r="F75" i="16" s="1"/>
  <c r="U74" i="16"/>
  <c r="S74" i="16"/>
  <c r="R74" i="16"/>
  <c r="N74" i="16"/>
  <c r="Q74" i="16" s="1"/>
  <c r="M74" i="16"/>
  <c r="O74" i="16" s="1"/>
  <c r="I74" i="16"/>
  <c r="L74" i="16" s="1"/>
  <c r="H74" i="16"/>
  <c r="F74" i="16"/>
  <c r="E74" i="16"/>
  <c r="D74" i="16"/>
  <c r="S73" i="16"/>
  <c r="R73" i="16"/>
  <c r="U73" i="16" s="1"/>
  <c r="Q73" i="16"/>
  <c r="O73" i="16"/>
  <c r="N73" i="16"/>
  <c r="M73" i="16"/>
  <c r="L73" i="16"/>
  <c r="I73" i="16"/>
  <c r="E73" i="16"/>
  <c r="H73" i="16" s="1"/>
  <c r="D73" i="16"/>
  <c r="J73" i="16" s="1"/>
  <c r="R72" i="16"/>
  <c r="U72" i="16" s="1"/>
  <c r="N72" i="16"/>
  <c r="Q72" i="16" s="1"/>
  <c r="M72" i="16"/>
  <c r="S72" i="16" s="1"/>
  <c r="L72" i="16"/>
  <c r="I72" i="16"/>
  <c r="E72" i="16"/>
  <c r="H72" i="16" s="1"/>
  <c r="D72" i="16"/>
  <c r="J72" i="16" s="1"/>
  <c r="R71" i="16"/>
  <c r="U71" i="16" s="1"/>
  <c r="N71" i="16"/>
  <c r="M71" i="16"/>
  <c r="S71" i="16" s="1"/>
  <c r="I71" i="16"/>
  <c r="E71" i="16"/>
  <c r="D71" i="16"/>
  <c r="F71" i="16" s="1"/>
  <c r="H71" i="16" s="1"/>
  <c r="U70" i="16"/>
  <c r="R70" i="16"/>
  <c r="N70" i="16"/>
  <c r="Q70" i="16" s="1"/>
  <c r="M70" i="16"/>
  <c r="S70" i="16" s="1"/>
  <c r="I70" i="16"/>
  <c r="L70" i="16" s="1"/>
  <c r="H70" i="16"/>
  <c r="F70" i="16"/>
  <c r="E70" i="16"/>
  <c r="D70" i="16"/>
  <c r="R69" i="16"/>
  <c r="N69" i="16"/>
  <c r="N81" i="16" s="1"/>
  <c r="Q81" i="16" s="1"/>
  <c r="M69" i="16"/>
  <c r="S69" i="16" s="1"/>
  <c r="I69" i="16"/>
  <c r="E69" i="16"/>
  <c r="E81" i="16" s="1"/>
  <c r="H81" i="16" s="1"/>
  <c r="D69" i="16"/>
  <c r="D68" i="16"/>
  <c r="G67" i="10" s="1"/>
  <c r="B68" i="16"/>
  <c r="U67" i="16"/>
  <c r="R67" i="16"/>
  <c r="N67" i="16"/>
  <c r="Q67" i="16" s="1"/>
  <c r="M67" i="16"/>
  <c r="S67" i="16" s="1"/>
  <c r="I67" i="16"/>
  <c r="E67" i="16"/>
  <c r="H67" i="16" s="1"/>
  <c r="D67" i="16"/>
  <c r="J67" i="16" s="1"/>
  <c r="R66" i="16"/>
  <c r="Q66" i="16"/>
  <c r="N66" i="16"/>
  <c r="M66" i="16"/>
  <c r="O66" i="16" s="1"/>
  <c r="L66" i="16"/>
  <c r="I66" i="16"/>
  <c r="E66" i="16"/>
  <c r="H66" i="16" s="1"/>
  <c r="D66" i="16"/>
  <c r="J66" i="16" s="1"/>
  <c r="R65" i="16"/>
  <c r="Q65" i="16"/>
  <c r="O65" i="16"/>
  <c r="N65" i="16"/>
  <c r="M65" i="16"/>
  <c r="I65" i="16"/>
  <c r="E65" i="16"/>
  <c r="H65" i="16" s="1"/>
  <c r="D65" i="16"/>
  <c r="J65" i="16" s="1"/>
  <c r="R64" i="16"/>
  <c r="U64" i="16" s="1"/>
  <c r="N64" i="16"/>
  <c r="Q64" i="16" s="1"/>
  <c r="M64" i="16"/>
  <c r="L64" i="16"/>
  <c r="I64" i="16"/>
  <c r="H64" i="16"/>
  <c r="F64" i="16"/>
  <c r="E64" i="16"/>
  <c r="D64" i="16"/>
  <c r="J64" i="16" s="1"/>
  <c r="R63" i="16"/>
  <c r="U63" i="16" s="1"/>
  <c r="N63" i="16"/>
  <c r="M63" i="16"/>
  <c r="S63" i="16" s="1"/>
  <c r="J63" i="16"/>
  <c r="L63" i="16" s="1"/>
  <c r="I63" i="16"/>
  <c r="E63" i="16"/>
  <c r="D63" i="16"/>
  <c r="F63" i="16" s="1"/>
  <c r="R62" i="16"/>
  <c r="U62" i="16" s="1"/>
  <c r="N62" i="16"/>
  <c r="M62" i="16"/>
  <c r="S62" i="16" s="1"/>
  <c r="J62" i="16"/>
  <c r="I62" i="16"/>
  <c r="L62" i="16" s="1"/>
  <c r="H62" i="16"/>
  <c r="F62" i="16"/>
  <c r="E62" i="16"/>
  <c r="D62" i="16"/>
  <c r="R61" i="16"/>
  <c r="N61" i="16"/>
  <c r="Q61" i="16" s="1"/>
  <c r="M61" i="16"/>
  <c r="S61" i="16" s="1"/>
  <c r="U61" i="16" s="1"/>
  <c r="J61" i="16"/>
  <c r="I61" i="16"/>
  <c r="E61" i="16"/>
  <c r="D61" i="16"/>
  <c r="R60" i="16"/>
  <c r="U60" i="16" s="1"/>
  <c r="N60" i="16"/>
  <c r="M60" i="16"/>
  <c r="S60" i="16" s="1"/>
  <c r="I60" i="16"/>
  <c r="E60" i="16"/>
  <c r="D60" i="16"/>
  <c r="J60" i="16" s="1"/>
  <c r="L60" i="16" s="1"/>
  <c r="U59" i="16"/>
  <c r="R59" i="16"/>
  <c r="N59" i="16"/>
  <c r="Q59" i="16" s="1"/>
  <c r="M59" i="16"/>
  <c r="S59" i="16" s="1"/>
  <c r="I59" i="16"/>
  <c r="L59" i="16" s="1"/>
  <c r="E59" i="16"/>
  <c r="H59" i="16" s="1"/>
  <c r="D59" i="16"/>
  <c r="J59" i="16" s="1"/>
  <c r="R58" i="16"/>
  <c r="N58" i="16"/>
  <c r="M58" i="16"/>
  <c r="O58" i="16" s="1"/>
  <c r="Q58" i="16" s="1"/>
  <c r="I58" i="16"/>
  <c r="E58" i="16"/>
  <c r="D58" i="16"/>
  <c r="J58" i="16" s="1"/>
  <c r="L58" i="16" s="1"/>
  <c r="R57" i="16"/>
  <c r="Q57" i="16"/>
  <c r="O57" i="16"/>
  <c r="N57" i="16"/>
  <c r="M57" i="16"/>
  <c r="I57" i="16"/>
  <c r="L57" i="16" s="1"/>
  <c r="E57" i="16"/>
  <c r="H57" i="16" s="1"/>
  <c r="D57" i="16"/>
  <c r="J57" i="16" s="1"/>
  <c r="R56" i="16"/>
  <c r="N56" i="16"/>
  <c r="N68" i="16" s="1"/>
  <c r="M56" i="16"/>
  <c r="I56" i="16"/>
  <c r="F56" i="16"/>
  <c r="H56" i="16" s="1"/>
  <c r="E56" i="16"/>
  <c r="D56" i="16"/>
  <c r="J56" i="16" s="1"/>
  <c r="L56" i="16" s="1"/>
  <c r="M55" i="16"/>
  <c r="R54" i="16"/>
  <c r="R55" i="16" s="1"/>
  <c r="M54" i="16"/>
  <c r="B54" i="16"/>
  <c r="R53" i="16"/>
  <c r="N53" i="16"/>
  <c r="M53" i="16"/>
  <c r="S53" i="16" s="1"/>
  <c r="U53" i="16" s="1"/>
  <c r="I53" i="16"/>
  <c r="F53" i="16"/>
  <c r="H53" i="16" s="1"/>
  <c r="E53" i="16"/>
  <c r="D53" i="16"/>
  <c r="R52" i="16"/>
  <c r="N52" i="16"/>
  <c r="M52" i="16"/>
  <c r="S52" i="16" s="1"/>
  <c r="I52" i="16"/>
  <c r="E52" i="16"/>
  <c r="D52" i="16"/>
  <c r="R51" i="16"/>
  <c r="O51" i="16"/>
  <c r="Q51" i="16" s="1"/>
  <c r="N51" i="16"/>
  <c r="M51" i="16"/>
  <c r="S51" i="16" s="1"/>
  <c r="U51" i="16" s="1"/>
  <c r="I51" i="16"/>
  <c r="E51" i="16"/>
  <c r="E54" i="16" s="1"/>
  <c r="E55" i="16" s="1"/>
  <c r="H50" i="10" s="1"/>
  <c r="D51" i="16"/>
  <c r="N47" i="16"/>
  <c r="D47" i="16"/>
  <c r="G42" i="10" s="1"/>
  <c r="B47" i="16"/>
  <c r="R46" i="16"/>
  <c r="N46" i="16"/>
  <c r="M46" i="16"/>
  <c r="I46" i="16"/>
  <c r="F46" i="16"/>
  <c r="E46" i="16"/>
  <c r="H46" i="16" s="1"/>
  <c r="D46" i="16"/>
  <c r="J46" i="16" s="1"/>
  <c r="R45" i="16"/>
  <c r="N45" i="16"/>
  <c r="M45" i="16"/>
  <c r="O45" i="16" s="1"/>
  <c r="J45" i="16"/>
  <c r="L45" i="16" s="1"/>
  <c r="I45" i="16"/>
  <c r="E45" i="16"/>
  <c r="H45" i="16" s="1"/>
  <c r="D45" i="16"/>
  <c r="F45" i="16" s="1"/>
  <c r="R44" i="16"/>
  <c r="N44" i="16"/>
  <c r="M44" i="16"/>
  <c r="S44" i="16" s="1"/>
  <c r="J44" i="16"/>
  <c r="I44" i="16"/>
  <c r="E44" i="16"/>
  <c r="D44" i="16"/>
  <c r="F44" i="16" s="1"/>
  <c r="H44" i="16" s="1"/>
  <c r="R43" i="16"/>
  <c r="U43" i="16" s="1"/>
  <c r="N43" i="16"/>
  <c r="Q43" i="16" s="1"/>
  <c r="M43" i="16"/>
  <c r="J43" i="16"/>
  <c r="I43" i="16"/>
  <c r="I47" i="16" s="1"/>
  <c r="E43" i="16"/>
  <c r="D43" i="16"/>
  <c r="R42" i="16"/>
  <c r="M42" i="16"/>
  <c r="E42" i="16"/>
  <c r="H42" i="16" s="1"/>
  <c r="D42" i="16"/>
  <c r="B42" i="16"/>
  <c r="R41" i="16"/>
  <c r="O41" i="16"/>
  <c r="N41" i="16"/>
  <c r="Q41" i="16" s="1"/>
  <c r="M41" i="16"/>
  <c r="S41" i="16" s="1"/>
  <c r="I41" i="16"/>
  <c r="E41" i="16"/>
  <c r="H41" i="16" s="1"/>
  <c r="D41" i="16"/>
  <c r="F41" i="16" s="1"/>
  <c r="I40" i="16"/>
  <c r="D40" i="16"/>
  <c r="J40" i="16" s="1"/>
  <c r="B40" i="16"/>
  <c r="R39" i="16"/>
  <c r="N39" i="16"/>
  <c r="M39" i="16"/>
  <c r="O39" i="16" s="1"/>
  <c r="I39" i="16"/>
  <c r="E39" i="16"/>
  <c r="D39" i="16"/>
  <c r="J39" i="16" s="1"/>
  <c r="L39" i="16" s="1"/>
  <c r="R38" i="16"/>
  <c r="U38" i="16" s="1"/>
  <c r="O38" i="16"/>
  <c r="Q38" i="16" s="1"/>
  <c r="N38" i="16"/>
  <c r="M38" i="16"/>
  <c r="I38" i="16"/>
  <c r="L38" i="16" s="1"/>
  <c r="E38" i="16"/>
  <c r="D38" i="16"/>
  <c r="J38" i="16" s="1"/>
  <c r="R37" i="16"/>
  <c r="N37" i="16"/>
  <c r="Q37" i="16" s="1"/>
  <c r="M37" i="16"/>
  <c r="I37" i="16"/>
  <c r="F37" i="16"/>
  <c r="E37" i="16"/>
  <c r="H37" i="16" s="1"/>
  <c r="D37" i="16"/>
  <c r="R36" i="16"/>
  <c r="R40" i="16" s="1"/>
  <c r="N36" i="16"/>
  <c r="N40" i="16" s="1"/>
  <c r="M36" i="16"/>
  <c r="M40" i="16" s="1"/>
  <c r="O40" i="16" s="1"/>
  <c r="J36" i="16"/>
  <c r="L36" i="16" s="1"/>
  <c r="I36" i="16"/>
  <c r="E36" i="16"/>
  <c r="D36" i="16"/>
  <c r="F36" i="16" s="1"/>
  <c r="R35" i="16"/>
  <c r="M35" i="16"/>
  <c r="I35" i="16"/>
  <c r="B35" i="16"/>
  <c r="R34" i="16"/>
  <c r="N34" i="16"/>
  <c r="M34" i="16"/>
  <c r="S34" i="16" s="1"/>
  <c r="U34" i="16" s="1"/>
  <c r="I34" i="16"/>
  <c r="F34" i="16"/>
  <c r="H34" i="16" s="1"/>
  <c r="E34" i="16"/>
  <c r="D34" i="16"/>
  <c r="R33" i="16"/>
  <c r="N33" i="16"/>
  <c r="M33" i="16"/>
  <c r="S33" i="16" s="1"/>
  <c r="I33" i="16"/>
  <c r="E33" i="16"/>
  <c r="D33" i="16"/>
  <c r="R32" i="16"/>
  <c r="O32" i="16"/>
  <c r="Q32" i="16" s="1"/>
  <c r="N32" i="16"/>
  <c r="M32" i="16"/>
  <c r="I32" i="16"/>
  <c r="E32" i="16"/>
  <c r="D32" i="16"/>
  <c r="J32" i="16" s="1"/>
  <c r="S31" i="16"/>
  <c r="U31" i="16" s="1"/>
  <c r="R31" i="16"/>
  <c r="N31" i="16"/>
  <c r="M31" i="16"/>
  <c r="O31" i="16" s="1"/>
  <c r="I31" i="16"/>
  <c r="E31" i="16"/>
  <c r="D31" i="16"/>
  <c r="D35" i="16" s="1"/>
  <c r="G30" i="10" s="1"/>
  <c r="R30" i="16"/>
  <c r="R29" i="16"/>
  <c r="D29" i="16"/>
  <c r="D30" i="16" s="1"/>
  <c r="G24" i="10" s="1"/>
  <c r="B29" i="16"/>
  <c r="R28" i="16"/>
  <c r="N28" i="16"/>
  <c r="M28" i="16"/>
  <c r="I28" i="16"/>
  <c r="H28" i="16"/>
  <c r="F28" i="16"/>
  <c r="E28" i="16"/>
  <c r="D28" i="16"/>
  <c r="R27" i="16"/>
  <c r="N27" i="16"/>
  <c r="Q27" i="16" s="1"/>
  <c r="M27" i="16"/>
  <c r="O27" i="16" s="1"/>
  <c r="J27" i="16"/>
  <c r="L27" i="16" s="1"/>
  <c r="I27" i="16"/>
  <c r="E27" i="16"/>
  <c r="H27" i="16" s="1"/>
  <c r="D27" i="16"/>
  <c r="F27" i="16" s="1"/>
  <c r="R26" i="16"/>
  <c r="Q26" i="16"/>
  <c r="N26" i="16"/>
  <c r="M26" i="16"/>
  <c r="M29" i="16" s="1"/>
  <c r="I26" i="16"/>
  <c r="H26" i="16"/>
  <c r="E26" i="16"/>
  <c r="E29" i="16" s="1"/>
  <c r="D26" i="16"/>
  <c r="F26" i="16" s="1"/>
  <c r="E24" i="16"/>
  <c r="D24" i="16"/>
  <c r="G17" i="10" s="1"/>
  <c r="B24" i="16"/>
  <c r="R23" i="16"/>
  <c r="U23" i="16" s="1"/>
  <c r="Q23" i="16"/>
  <c r="N23" i="16"/>
  <c r="O23" i="16" s="1"/>
  <c r="M23" i="16"/>
  <c r="I23" i="16"/>
  <c r="L23" i="16" s="1"/>
  <c r="E23" i="16"/>
  <c r="H23" i="16" s="1"/>
  <c r="D23" i="16"/>
  <c r="F23" i="16" s="1"/>
  <c r="U22" i="16"/>
  <c r="S22" i="16"/>
  <c r="R22" i="16"/>
  <c r="N22" i="16"/>
  <c r="Q22" i="16" s="1"/>
  <c r="M22" i="16"/>
  <c r="O22" i="16" s="1"/>
  <c r="I22" i="16"/>
  <c r="L22" i="16" s="1"/>
  <c r="H22" i="16"/>
  <c r="E22" i="16"/>
  <c r="D22" i="16"/>
  <c r="J22" i="16" s="1"/>
  <c r="R21" i="16"/>
  <c r="N21" i="16"/>
  <c r="M21" i="16"/>
  <c r="O21" i="16" s="1"/>
  <c r="Q21" i="16" s="1"/>
  <c r="I21" i="16"/>
  <c r="E21" i="16"/>
  <c r="D21" i="16"/>
  <c r="J21" i="16" s="1"/>
  <c r="L21" i="16" s="1"/>
  <c r="R20" i="16"/>
  <c r="S20" i="16" s="1"/>
  <c r="N20" i="16"/>
  <c r="M20" i="16"/>
  <c r="I20" i="16"/>
  <c r="E20" i="16"/>
  <c r="D20" i="16"/>
  <c r="J20" i="16" s="1"/>
  <c r="R19" i="16"/>
  <c r="U19" i="16" s="1"/>
  <c r="N19" i="16"/>
  <c r="Q19" i="16" s="1"/>
  <c r="M19" i="16"/>
  <c r="L19" i="16"/>
  <c r="I19" i="16"/>
  <c r="F19" i="16"/>
  <c r="E19" i="16"/>
  <c r="H19" i="16" s="1"/>
  <c r="D19" i="16"/>
  <c r="J19" i="16" s="1"/>
  <c r="R18" i="16"/>
  <c r="R24" i="16" s="1"/>
  <c r="N18" i="16"/>
  <c r="N24" i="16" s="1"/>
  <c r="M18" i="16"/>
  <c r="S18" i="16" s="1"/>
  <c r="I18" i="16"/>
  <c r="E18" i="16"/>
  <c r="D18" i="16"/>
  <c r="F18" i="16" s="1"/>
  <c r="N17" i="16"/>
  <c r="Q17" i="16" s="1"/>
  <c r="I17" i="16"/>
  <c r="L17" i="16" s="1"/>
  <c r="B17" i="16"/>
  <c r="U16" i="16"/>
  <c r="R16" i="16"/>
  <c r="R17" i="16" s="1"/>
  <c r="U17" i="16" s="1"/>
  <c r="N16" i="16"/>
  <c r="Q16" i="16" s="1"/>
  <c r="M16" i="16"/>
  <c r="S16" i="16" s="1"/>
  <c r="I16" i="16"/>
  <c r="J16" i="16" s="1"/>
  <c r="H16" i="16"/>
  <c r="E16" i="16"/>
  <c r="E17" i="16" s="1"/>
  <c r="E25" i="16" s="1"/>
  <c r="H18" i="10" s="1"/>
  <c r="D16" i="16"/>
  <c r="D17" i="16" s="1"/>
  <c r="G8" i="10" s="1"/>
  <c r="E15" i="16"/>
  <c r="H6" i="10" s="1"/>
  <c r="B15" i="16"/>
  <c r="R14" i="16"/>
  <c r="Q14" i="16"/>
  <c r="N14" i="16"/>
  <c r="O14" i="16" s="1"/>
  <c r="M14" i="16"/>
  <c r="S14" i="16" s="1"/>
  <c r="I14" i="16"/>
  <c r="E14" i="16"/>
  <c r="H14" i="16" s="1"/>
  <c r="D14" i="16"/>
  <c r="D15" i="16" s="1"/>
  <c r="G6" i="10" s="1"/>
  <c r="S13" i="16"/>
  <c r="U13" i="16" s="1"/>
  <c r="R13" i="16"/>
  <c r="N13" i="16"/>
  <c r="Q13" i="16" s="1"/>
  <c r="M13" i="16"/>
  <c r="O13" i="16" s="1"/>
  <c r="I13" i="16"/>
  <c r="E13" i="16"/>
  <c r="H13" i="16" s="1"/>
  <c r="D13" i="16"/>
  <c r="F13" i="16" s="1"/>
  <c r="R12" i="16"/>
  <c r="N12" i="16"/>
  <c r="N15" i="16" s="1"/>
  <c r="M12" i="16"/>
  <c r="O12" i="16" s="1"/>
  <c r="Q12" i="16" s="1"/>
  <c r="I12" i="16"/>
  <c r="E12" i="16"/>
  <c r="D12" i="16"/>
  <c r="J12" i="16" s="1"/>
  <c r="L12" i="16" s="1"/>
  <c r="B9" i="16"/>
  <c r="E7" i="16"/>
  <c r="C7" i="16"/>
  <c r="E6" i="16"/>
  <c r="C6" i="16"/>
  <c r="E5" i="16"/>
  <c r="C5" i="16"/>
  <c r="G67" i="17" l="1"/>
  <c r="L41" i="1"/>
  <c r="F21" i="17"/>
  <c r="L42" i="1"/>
  <c r="L53" i="1"/>
  <c r="L54" i="1"/>
  <c r="L55" i="1"/>
  <c r="L56" i="1"/>
  <c r="Q129" i="16"/>
  <c r="H160" i="16"/>
  <c r="H171" i="16"/>
  <c r="F17" i="16"/>
  <c r="U122" i="16"/>
  <c r="H8" i="10"/>
  <c r="H17" i="16"/>
  <c r="L44" i="16"/>
  <c r="U148" i="16"/>
  <c r="Q153" i="16"/>
  <c r="H63" i="16"/>
  <c r="U177" i="16"/>
  <c r="H180" i="16"/>
  <c r="J187" i="16"/>
  <c r="L187" i="16" s="1"/>
  <c r="U194" i="16"/>
  <c r="L61" i="16"/>
  <c r="H137" i="16"/>
  <c r="J47" i="16"/>
  <c r="U113" i="16"/>
  <c r="S151" i="16"/>
  <c r="G35" i="10"/>
  <c r="G198" i="10"/>
  <c r="S42" i="16"/>
  <c r="L3" i="1"/>
  <c r="J121" i="16"/>
  <c r="L4" i="1"/>
  <c r="L5" i="1"/>
  <c r="L112" i="16"/>
  <c r="U133" i="16"/>
  <c r="H37" i="10"/>
  <c r="L6" i="1"/>
  <c r="L40" i="16"/>
  <c r="S54" i="16"/>
  <c r="L100" i="16"/>
  <c r="H134" i="16"/>
  <c r="Q164" i="16"/>
  <c r="N174" i="10"/>
  <c r="F12" i="17"/>
  <c r="H12" i="17" s="1"/>
  <c r="F7" i="11" s="1"/>
  <c r="H101" i="17"/>
  <c r="F101" i="11" s="1"/>
  <c r="F100" i="17"/>
  <c r="H100" i="17" s="1"/>
  <c r="F100" i="11" s="1"/>
  <c r="H96" i="17"/>
  <c r="F96" i="11" s="1"/>
  <c r="F95" i="17"/>
  <c r="H75" i="17"/>
  <c r="F74" i="17"/>
  <c r="H21" i="17"/>
  <c r="F16" i="11" s="1"/>
  <c r="G117" i="17"/>
  <c r="H89" i="17"/>
  <c r="F89" i="11" s="1"/>
  <c r="F88" i="17"/>
  <c r="F103" i="17"/>
  <c r="H103" i="17" s="1"/>
  <c r="F103" i="11" s="1"/>
  <c r="H104" i="17"/>
  <c r="F104" i="11" s="1"/>
  <c r="G69" i="17"/>
  <c r="H22" i="17"/>
  <c r="F17" i="11" s="1"/>
  <c r="H13" i="17"/>
  <c r="F8" i="11" s="1"/>
  <c r="H36" i="17"/>
  <c r="F33" i="11" s="1"/>
  <c r="H43" i="17"/>
  <c r="F40" i="11" s="1"/>
  <c r="F46" i="17"/>
  <c r="H46" i="17" s="1"/>
  <c r="F43" i="11" s="1"/>
  <c r="F98" i="17"/>
  <c r="H98" i="17" s="1"/>
  <c r="F98" i="11" s="1"/>
  <c r="H10" i="17"/>
  <c r="D25" i="16"/>
  <c r="F15" i="16"/>
  <c r="H15" i="16" s="1"/>
  <c r="F69" i="16"/>
  <c r="D81" i="16"/>
  <c r="G81" i="10" s="1"/>
  <c r="J69" i="16"/>
  <c r="L69" i="16" s="1"/>
  <c r="I103" i="16"/>
  <c r="F114" i="16"/>
  <c r="H114" i="16" s="1"/>
  <c r="L46" i="16"/>
  <c r="F52" i="16"/>
  <c r="H52" i="16" s="1"/>
  <c r="J52" i="16"/>
  <c r="U54" i="16"/>
  <c r="L71" i="16"/>
  <c r="J71" i="16"/>
  <c r="Q91" i="16"/>
  <c r="O91" i="16"/>
  <c r="Q28" i="16"/>
  <c r="H12" i="16"/>
  <c r="U41" i="16"/>
  <c r="S46" i="16"/>
  <c r="U46" i="16" s="1"/>
  <c r="O46" i="16"/>
  <c r="Q46" i="16" s="1"/>
  <c r="O28" i="16"/>
  <c r="S28" i="16"/>
  <c r="L52" i="16"/>
  <c r="U57" i="16"/>
  <c r="S19" i="16"/>
  <c r="O19" i="16"/>
  <c r="S21" i="16"/>
  <c r="U21" i="16" s="1"/>
  <c r="N29" i="16"/>
  <c r="L32" i="16"/>
  <c r="O64" i="16"/>
  <c r="S64" i="16"/>
  <c r="H90" i="16"/>
  <c r="F90" i="16"/>
  <c r="E106" i="16"/>
  <c r="H104" i="16"/>
  <c r="F104" i="16"/>
  <c r="U14" i="16"/>
  <c r="F24" i="16"/>
  <c r="H24" i="16" s="1"/>
  <c r="U29" i="16"/>
  <c r="Q39" i="16"/>
  <c r="U44" i="16"/>
  <c r="U52" i="16"/>
  <c r="U66" i="16"/>
  <c r="S66" i="16"/>
  <c r="S209" i="16"/>
  <c r="U209" i="16" s="1"/>
  <c r="Q31" i="16"/>
  <c r="Q40" i="16"/>
  <c r="S39" i="16"/>
  <c r="U39" i="16" s="1"/>
  <c r="U42" i="16"/>
  <c r="M30" i="16"/>
  <c r="S29" i="16"/>
  <c r="H36" i="16"/>
  <c r="H61" i="16"/>
  <c r="F61" i="16"/>
  <c r="D209" i="16"/>
  <c r="G220" i="10" s="1"/>
  <c r="J203" i="16"/>
  <c r="L203" i="16" s="1"/>
  <c r="F203" i="16"/>
  <c r="E200" i="16"/>
  <c r="H211" i="10" s="1"/>
  <c r="J14" i="16"/>
  <c r="F14" i="16"/>
  <c r="L14" i="16"/>
  <c r="N25" i="16"/>
  <c r="O37" i="16"/>
  <c r="S37" i="16"/>
  <c r="U37" i="16" s="1"/>
  <c r="H18" i="16"/>
  <c r="L20" i="16"/>
  <c r="U27" i="16"/>
  <c r="H43" i="16"/>
  <c r="E47" i="16"/>
  <c r="H42" i="10" s="1"/>
  <c r="F43" i="16"/>
  <c r="M68" i="16"/>
  <c r="O56" i="16"/>
  <c r="Q56" i="16" s="1"/>
  <c r="S56" i="16"/>
  <c r="S58" i="16"/>
  <c r="U58" i="16" s="1"/>
  <c r="L65" i="16"/>
  <c r="L67" i="16"/>
  <c r="H123" i="16"/>
  <c r="U28" i="16"/>
  <c r="I24" i="16"/>
  <c r="J24" i="16" s="1"/>
  <c r="J35" i="16"/>
  <c r="L35" i="16" s="1"/>
  <c r="D48" i="16"/>
  <c r="G43" i="10" s="1"/>
  <c r="F33" i="16"/>
  <c r="H33" i="16" s="1"/>
  <c r="J33" i="16"/>
  <c r="L33" i="16" s="1"/>
  <c r="L47" i="16"/>
  <c r="D54" i="16"/>
  <c r="G49" i="10" s="1"/>
  <c r="J184" i="16"/>
  <c r="L184" i="16" s="1"/>
  <c r="J18" i="16"/>
  <c r="L18" i="16" s="1"/>
  <c r="M48" i="16"/>
  <c r="S40" i="16"/>
  <c r="U40" i="16" s="1"/>
  <c r="R68" i="16"/>
  <c r="I29" i="16"/>
  <c r="J29" i="16" s="1"/>
  <c r="J26" i="16"/>
  <c r="L26" i="16"/>
  <c r="U33" i="16"/>
  <c r="R15" i="16"/>
  <c r="S12" i="16"/>
  <c r="U12" i="16" s="1"/>
  <c r="J17" i="16"/>
  <c r="E30" i="16"/>
  <c r="H24" i="10" s="1"/>
  <c r="E35" i="16"/>
  <c r="H30" i="10" s="1"/>
  <c r="F16" i="16"/>
  <c r="O20" i="16"/>
  <c r="Q20" i="16" s="1"/>
  <c r="M47" i="16"/>
  <c r="Q45" i="16"/>
  <c r="Q63" i="16"/>
  <c r="I54" i="16"/>
  <c r="S80" i="16"/>
  <c r="U80" i="16" s="1"/>
  <c r="O80" i="16"/>
  <c r="Q80" i="16" s="1"/>
  <c r="F85" i="16"/>
  <c r="H85" i="16" s="1"/>
  <c r="S86" i="16"/>
  <c r="U86" i="16" s="1"/>
  <c r="R88" i="16"/>
  <c r="S121" i="16"/>
  <c r="U121" i="16" s="1"/>
  <c r="S136" i="16"/>
  <c r="U136" i="16" s="1"/>
  <c r="R173" i="16"/>
  <c r="U163" i="16"/>
  <c r="D176" i="16"/>
  <c r="G185" i="10" s="1"/>
  <c r="J174" i="16"/>
  <c r="L174" i="16" s="1"/>
  <c r="F174" i="16"/>
  <c r="S178" i="16"/>
  <c r="U178" i="16" s="1"/>
  <c r="O178" i="16"/>
  <c r="Q178" i="16" s="1"/>
  <c r="I200" i="16"/>
  <c r="J195" i="16"/>
  <c r="L195" i="16" s="1"/>
  <c r="E209" i="16"/>
  <c r="H203" i="16"/>
  <c r="J34" i="16"/>
  <c r="L34" i="16" s="1"/>
  <c r="S38" i="16"/>
  <c r="F42" i="16"/>
  <c r="R47" i="16"/>
  <c r="J53" i="16"/>
  <c r="L53" i="16" s="1"/>
  <c r="S57" i="16"/>
  <c r="F60" i="16"/>
  <c r="H60" i="16" s="1"/>
  <c r="S65" i="16"/>
  <c r="U65" i="16" s="1"/>
  <c r="E68" i="16"/>
  <c r="H67" i="10" s="1"/>
  <c r="H69" i="16"/>
  <c r="J70" i="16"/>
  <c r="O72" i="16"/>
  <c r="S83" i="16"/>
  <c r="U83" i="16" s="1"/>
  <c r="M85" i="16"/>
  <c r="S108" i="16"/>
  <c r="U108" i="16" s="1"/>
  <c r="O108" i="16"/>
  <c r="R115" i="16"/>
  <c r="U110" i="16"/>
  <c r="S110" i="16"/>
  <c r="O118" i="16"/>
  <c r="Q118" i="16" s="1"/>
  <c r="Q120" i="16"/>
  <c r="L133" i="16"/>
  <c r="F139" i="16"/>
  <c r="H139" i="16" s="1"/>
  <c r="O161" i="16"/>
  <c r="U167" i="16"/>
  <c r="U180" i="16"/>
  <c r="U182" i="16"/>
  <c r="O209" i="16"/>
  <c r="L205" i="16"/>
  <c r="U128" i="16"/>
  <c r="S169" i="16"/>
  <c r="U169" i="16" s="1"/>
  <c r="O169" i="16"/>
  <c r="Q169" i="16" s="1"/>
  <c r="F51" i="16"/>
  <c r="O63" i="16"/>
  <c r="I81" i="16"/>
  <c r="L81" i="16" s="1"/>
  <c r="O76" i="16"/>
  <c r="N85" i="16"/>
  <c r="F87" i="16"/>
  <c r="H87" i="16" s="1"/>
  <c r="F95" i="16"/>
  <c r="O99" i="16"/>
  <c r="Q99" i="16" s="1"/>
  <c r="Q108" i="16"/>
  <c r="D145" i="16"/>
  <c r="G154" i="10" s="1"/>
  <c r="J140" i="16"/>
  <c r="L140" i="16" s="1"/>
  <c r="S143" i="16"/>
  <c r="U143" i="16" s="1"/>
  <c r="O143" i="16"/>
  <c r="Q143" i="16" s="1"/>
  <c r="U161" i="16"/>
  <c r="F32" i="16"/>
  <c r="H32" i="16" s="1"/>
  <c r="I15" i="16"/>
  <c r="L16" i="16"/>
  <c r="M17" i="16"/>
  <c r="O18" i="16"/>
  <c r="Q18" i="16" s="1"/>
  <c r="U20" i="16"/>
  <c r="N35" i="16"/>
  <c r="Q36" i="16"/>
  <c r="E40" i="16"/>
  <c r="H35" i="10" s="1"/>
  <c r="I42" i="16"/>
  <c r="L43" i="16"/>
  <c r="H51" i="16"/>
  <c r="N54" i="16"/>
  <c r="F59" i="16"/>
  <c r="F67" i="16"/>
  <c r="O71" i="16"/>
  <c r="Q71" i="16" s="1"/>
  <c r="J75" i="16"/>
  <c r="L75" i="16" s="1"/>
  <c r="F78" i="16"/>
  <c r="H78" i="16" s="1"/>
  <c r="O82" i="16"/>
  <c r="Q82" i="16" s="1"/>
  <c r="F89" i="16"/>
  <c r="D92" i="16"/>
  <c r="G92" i="10" s="1"/>
  <c r="R103" i="16"/>
  <c r="L95" i="16"/>
  <c r="S96" i="16"/>
  <c r="U96" i="16" s="1"/>
  <c r="H101" i="16"/>
  <c r="O106" i="16"/>
  <c r="Q114" i="16"/>
  <c r="F123" i="16"/>
  <c r="H125" i="16"/>
  <c r="F131" i="16"/>
  <c r="E145" i="16"/>
  <c r="H154" i="10" s="1"/>
  <c r="L164" i="16"/>
  <c r="H168" i="16"/>
  <c r="S171" i="16"/>
  <c r="U171" i="16" s="1"/>
  <c r="H177" i="16"/>
  <c r="U184" i="16"/>
  <c r="S187" i="16"/>
  <c r="U187" i="16" s="1"/>
  <c r="O187" i="16"/>
  <c r="O207" i="16"/>
  <c r="M200" i="16"/>
  <c r="S199" i="16"/>
  <c r="U199" i="16" s="1"/>
  <c r="O26" i="16"/>
  <c r="O44" i="16"/>
  <c r="Q44" i="16" s="1"/>
  <c r="U56" i="16"/>
  <c r="O62" i="16"/>
  <c r="Q62" i="16" s="1"/>
  <c r="I68" i="16"/>
  <c r="L87" i="16"/>
  <c r="E92" i="16"/>
  <c r="J113" i="16"/>
  <c r="L113" i="16" s="1"/>
  <c r="F113" i="16"/>
  <c r="O131" i="16"/>
  <c r="Q131" i="16" s="1"/>
  <c r="H131" i="16"/>
  <c r="F140" i="16"/>
  <c r="H140" i="16" s="1"/>
  <c r="J156" i="16"/>
  <c r="L156" i="16" s="1"/>
  <c r="F156" i="16"/>
  <c r="F166" i="16"/>
  <c r="U174" i="16"/>
  <c r="L179" i="16"/>
  <c r="F183" i="16"/>
  <c r="L219" i="16"/>
  <c r="U100" i="16"/>
  <c r="F22" i="16"/>
  <c r="O34" i="16"/>
  <c r="Q34" i="16" s="1"/>
  <c r="S36" i="16"/>
  <c r="F39" i="16"/>
  <c r="H39" i="16" s="1"/>
  <c r="J41" i="16"/>
  <c r="L41" i="16" s="1"/>
  <c r="S45" i="16"/>
  <c r="U45" i="16" s="1"/>
  <c r="J51" i="16"/>
  <c r="L51" i="16" s="1"/>
  <c r="O53" i="16"/>
  <c r="Q53" i="16" s="1"/>
  <c r="S55" i="16"/>
  <c r="U55" i="16" s="1"/>
  <c r="F58" i="16"/>
  <c r="H58" i="16" s="1"/>
  <c r="F66" i="16"/>
  <c r="O70" i="16"/>
  <c r="L78" i="16"/>
  <c r="R85" i="16"/>
  <c r="U82" i="16"/>
  <c r="O87" i="16"/>
  <c r="Q87" i="16" s="1"/>
  <c r="M88" i="16"/>
  <c r="O90" i="16"/>
  <c r="J98" i="16"/>
  <c r="L98" i="16" s="1"/>
  <c r="Q137" i="16"/>
  <c r="H142" i="16"/>
  <c r="J148" i="16"/>
  <c r="L148" i="16" s="1"/>
  <c r="F148" i="16"/>
  <c r="H148" i="16" s="1"/>
  <c r="H156" i="16"/>
  <c r="N162" i="16"/>
  <c r="L166" i="16"/>
  <c r="J168" i="16"/>
  <c r="L168" i="16" s="1"/>
  <c r="J177" i="16"/>
  <c r="U205" i="16"/>
  <c r="L217" i="16"/>
  <c r="J23" i="16"/>
  <c r="S27" i="16"/>
  <c r="M24" i="16"/>
  <c r="U36" i="16"/>
  <c r="O43" i="16"/>
  <c r="O61" i="16"/>
  <c r="F73" i="16"/>
  <c r="O79" i="16"/>
  <c r="Q79" i="16" s="1"/>
  <c r="D88" i="16"/>
  <c r="G88" i="10" s="1"/>
  <c r="U90" i="16"/>
  <c r="N92" i="16"/>
  <c r="Q92" i="16" s="1"/>
  <c r="J94" i="16"/>
  <c r="L94" i="16" s="1"/>
  <c r="F94" i="16"/>
  <c r="M109" i="16"/>
  <c r="S117" i="16"/>
  <c r="U117" i="16" s="1"/>
  <c r="O117" i="16"/>
  <c r="O127" i="16"/>
  <c r="Q127" i="16" s="1"/>
  <c r="O135" i="16"/>
  <c r="M145" i="16"/>
  <c r="L172" i="16"/>
  <c r="L177" i="16"/>
  <c r="F194" i="16"/>
  <c r="S217" i="16"/>
  <c r="O217" i="16"/>
  <c r="O93" i="16"/>
  <c r="M103" i="16"/>
  <c r="F31" i="16"/>
  <c r="H31" i="16" s="1"/>
  <c r="F40" i="16"/>
  <c r="F12" i="16"/>
  <c r="M15" i="16"/>
  <c r="O16" i="16"/>
  <c r="F21" i="16"/>
  <c r="H21" i="16" s="1"/>
  <c r="F30" i="16"/>
  <c r="J13" i="16"/>
  <c r="L13" i="16" s="1"/>
  <c r="U18" i="16"/>
  <c r="S26" i="16"/>
  <c r="U26" i="16" s="1"/>
  <c r="J31" i="16"/>
  <c r="L31" i="16" s="1"/>
  <c r="O33" i="16"/>
  <c r="Q33" i="16" s="1"/>
  <c r="S35" i="16"/>
  <c r="U35" i="16" s="1"/>
  <c r="F38" i="16"/>
  <c r="H38" i="16" s="1"/>
  <c r="N42" i="16"/>
  <c r="Q42" i="16" s="1"/>
  <c r="O52" i="16"/>
  <c r="Q52" i="16" s="1"/>
  <c r="F57" i="16"/>
  <c r="F65" i="16"/>
  <c r="O69" i="16"/>
  <c r="J74" i="16"/>
  <c r="H86" i="16"/>
  <c r="J89" i="16"/>
  <c r="L89" i="16" s="1"/>
  <c r="S98" i="16"/>
  <c r="U98" i="16" s="1"/>
  <c r="O98" i="16"/>
  <c r="N109" i="16"/>
  <c r="Q123" i="16"/>
  <c r="S125" i="16"/>
  <c r="O125" i="16"/>
  <c r="F132" i="16"/>
  <c r="H132" i="16" s="1"/>
  <c r="R139" i="16"/>
  <c r="S137" i="16"/>
  <c r="U137" i="16" s="1"/>
  <c r="N145" i="16"/>
  <c r="J142" i="16"/>
  <c r="L142" i="16" s="1"/>
  <c r="L158" i="16"/>
  <c r="J158" i="16"/>
  <c r="F175" i="16"/>
  <c r="H175" i="16" s="1"/>
  <c r="O179" i="16"/>
  <c r="Q179" i="16" s="1"/>
  <c r="L194" i="16"/>
  <c r="J196" i="16"/>
  <c r="I220" i="16"/>
  <c r="J220" i="16" s="1"/>
  <c r="J215" i="16"/>
  <c r="L215" i="16" s="1"/>
  <c r="O36" i="16"/>
  <c r="F20" i="16"/>
  <c r="H20" i="16" s="1"/>
  <c r="F29" i="16"/>
  <c r="H29" i="16" s="1"/>
  <c r="O60" i="16"/>
  <c r="Q60" i="16" s="1"/>
  <c r="Q69" i="16"/>
  <c r="F77" i="16"/>
  <c r="M81" i="16"/>
  <c r="F86" i="16"/>
  <c r="S87" i="16"/>
  <c r="U87" i="16" s="1"/>
  <c r="D126" i="16"/>
  <c r="G135" i="10" s="1"/>
  <c r="J122" i="16"/>
  <c r="L122" i="16" s="1"/>
  <c r="F122" i="16"/>
  <c r="Q125" i="16"/>
  <c r="R131" i="16"/>
  <c r="S131" i="16" s="1"/>
  <c r="S152" i="16"/>
  <c r="U152" i="16" s="1"/>
  <c r="M159" i="16"/>
  <c r="O152" i="16"/>
  <c r="M162" i="16"/>
  <c r="S160" i="16"/>
  <c r="U160" i="16" s="1"/>
  <c r="O160" i="16"/>
  <c r="Q160" i="16" s="1"/>
  <c r="U202" i="16"/>
  <c r="R210" i="16"/>
  <c r="M220" i="16"/>
  <c r="U217" i="16"/>
  <c r="S219" i="16"/>
  <c r="U219" i="16" s="1"/>
  <c r="J82" i="16"/>
  <c r="L82" i="16" s="1"/>
  <c r="I85" i="16"/>
  <c r="J85" i="16" s="1"/>
  <c r="O35" i="16"/>
  <c r="S43" i="16"/>
  <c r="R81" i="16"/>
  <c r="U81" i="16" s="1"/>
  <c r="S75" i="16"/>
  <c r="U75" i="16" s="1"/>
  <c r="M92" i="16"/>
  <c r="S89" i="16"/>
  <c r="U89" i="16" s="1"/>
  <c r="O89" i="16"/>
  <c r="R92" i="16"/>
  <c r="U95" i="16"/>
  <c r="D103" i="16"/>
  <c r="G103" i="10" s="1"/>
  <c r="E126" i="16"/>
  <c r="H135" i="10" s="1"/>
  <c r="H122" i="16"/>
  <c r="I139" i="16"/>
  <c r="J139" i="16" s="1"/>
  <c r="U151" i="16"/>
  <c r="L150" i="16"/>
  <c r="N159" i="16"/>
  <c r="Q152" i="16"/>
  <c r="N220" i="16"/>
  <c r="U77" i="16"/>
  <c r="S77" i="16"/>
  <c r="N121" i="16"/>
  <c r="E176" i="16"/>
  <c r="H185" i="10" s="1"/>
  <c r="H174" i="16"/>
  <c r="S197" i="16"/>
  <c r="O197" i="16"/>
  <c r="O59" i="16"/>
  <c r="O67" i="16"/>
  <c r="F72" i="16"/>
  <c r="J83" i="16"/>
  <c r="L83" i="16" s="1"/>
  <c r="J86" i="16"/>
  <c r="L86" i="16" s="1"/>
  <c r="J96" i="16"/>
  <c r="L96" i="16" s="1"/>
  <c r="J97" i="16"/>
  <c r="L97" i="16" s="1"/>
  <c r="E103" i="16"/>
  <c r="H103" i="10" s="1"/>
  <c r="D115" i="16"/>
  <c r="G124" i="10" s="1"/>
  <c r="H128" i="16"/>
  <c r="M139" i="16"/>
  <c r="S146" i="16"/>
  <c r="U146" i="16" s="1"/>
  <c r="J150" i="16"/>
  <c r="S154" i="16"/>
  <c r="U154" i="16" s="1"/>
  <c r="J165" i="16"/>
  <c r="F165" i="16"/>
  <c r="D173" i="16"/>
  <c r="G182" i="10" s="1"/>
  <c r="S206" i="16"/>
  <c r="U206" i="16" s="1"/>
  <c r="O206" i="16"/>
  <c r="R220" i="16"/>
  <c r="U69" i="16"/>
  <c r="J76" i="16"/>
  <c r="F76" i="16"/>
  <c r="S78" i="16"/>
  <c r="U78" i="16" s="1"/>
  <c r="H80" i="16"/>
  <c r="E88" i="16"/>
  <c r="H88" i="10" s="1"/>
  <c r="Q94" i="16"/>
  <c r="N103" i="16"/>
  <c r="N107" i="16" s="1"/>
  <c r="S101" i="16"/>
  <c r="F105" i="16"/>
  <c r="E115" i="16"/>
  <c r="H124" i="10" s="1"/>
  <c r="S111" i="16"/>
  <c r="H116" i="16"/>
  <c r="J130" i="16"/>
  <c r="F130" i="16"/>
  <c r="H130" i="16" s="1"/>
  <c r="N139" i="16"/>
  <c r="L138" i="16"/>
  <c r="U142" i="16"/>
  <c r="O144" i="16"/>
  <c r="Q144" i="16" s="1"/>
  <c r="D159" i="16"/>
  <c r="G167" i="10" s="1"/>
  <c r="U156" i="16"/>
  <c r="F202" i="16"/>
  <c r="S23" i="16"/>
  <c r="J28" i="16"/>
  <c r="L28" i="16" s="1"/>
  <c r="S32" i="16"/>
  <c r="U32" i="16" s="1"/>
  <c r="J37" i="16"/>
  <c r="L37" i="16" s="1"/>
  <c r="S84" i="16"/>
  <c r="F96" i="16"/>
  <c r="L121" i="16"/>
  <c r="S119" i="16"/>
  <c r="U119" i="16" s="1"/>
  <c r="M126" i="16"/>
  <c r="S134" i="16"/>
  <c r="U134" i="16" s="1"/>
  <c r="O134" i="16"/>
  <c r="Q134" i="16" s="1"/>
  <c r="D151" i="16"/>
  <c r="G159" i="10" s="1"/>
  <c r="J182" i="16"/>
  <c r="L182" i="16" s="1"/>
  <c r="F182" i="16"/>
  <c r="U208" i="16"/>
  <c r="S208" i="16"/>
  <c r="J80" i="16"/>
  <c r="L80" i="16" s="1"/>
  <c r="S91" i="16"/>
  <c r="Q97" i="16"/>
  <c r="J102" i="16"/>
  <c r="F102" i="16"/>
  <c r="D106" i="16"/>
  <c r="G115" i="10" s="1"/>
  <c r="J104" i="16"/>
  <c r="L124" i="16"/>
  <c r="L141" i="16"/>
  <c r="J141" i="16"/>
  <c r="E151" i="16"/>
  <c r="H159" i="10" s="1"/>
  <c r="N173" i="16"/>
  <c r="J167" i="16"/>
  <c r="L167" i="16" s="1"/>
  <c r="H182" i="16"/>
  <c r="S186" i="16"/>
  <c r="U186" i="16" s="1"/>
  <c r="O186" i="16"/>
  <c r="D199" i="16"/>
  <c r="G210" i="10" s="1"/>
  <c r="J193" i="16"/>
  <c r="F193" i="16"/>
  <c r="O199" i="16"/>
  <c r="Q199" i="16" s="1"/>
  <c r="S202" i="16"/>
  <c r="J204" i="16"/>
  <c r="S218" i="16"/>
  <c r="J114" i="16"/>
  <c r="L114" i="16" s="1"/>
  <c r="S118" i="16"/>
  <c r="U118" i="16" s="1"/>
  <c r="E121" i="16"/>
  <c r="H130" i="10" s="1"/>
  <c r="J123" i="16"/>
  <c r="L123" i="16" s="1"/>
  <c r="S127" i="16"/>
  <c r="U127" i="16" s="1"/>
  <c r="J132" i="16"/>
  <c r="L132" i="16" s="1"/>
  <c r="S144" i="16"/>
  <c r="U144" i="16" s="1"/>
  <c r="J149" i="16"/>
  <c r="N151" i="16"/>
  <c r="S153" i="16"/>
  <c r="U153" i="16" s="1"/>
  <c r="S170" i="16"/>
  <c r="E173" i="16"/>
  <c r="H182" i="10" s="1"/>
  <c r="J175" i="16"/>
  <c r="L175" i="16" s="1"/>
  <c r="S179" i="16"/>
  <c r="U179" i="16" s="1"/>
  <c r="M185" i="16"/>
  <c r="S198" i="16"/>
  <c r="S207" i="16"/>
  <c r="U207" i="16" s="1"/>
  <c r="E210" i="16"/>
  <c r="O216" i="16"/>
  <c r="F112" i="16"/>
  <c r="H112" i="16" s="1"/>
  <c r="M115" i="16"/>
  <c r="O116" i="16"/>
  <c r="Q116" i="16" s="1"/>
  <c r="R126" i="16"/>
  <c r="I131" i="16"/>
  <c r="I188" i="16" s="1"/>
  <c r="F138" i="16"/>
  <c r="H138" i="16" s="1"/>
  <c r="O142" i="16"/>
  <c r="Q142" i="16" s="1"/>
  <c r="F147" i="16"/>
  <c r="O151" i="16"/>
  <c r="O168" i="16"/>
  <c r="Q168" i="16" s="1"/>
  <c r="M176" i="16"/>
  <c r="O177" i="16"/>
  <c r="Q177" i="16" s="1"/>
  <c r="N185" i="16"/>
  <c r="H193" i="16"/>
  <c r="O196" i="16"/>
  <c r="F201" i="16"/>
  <c r="O205" i="16"/>
  <c r="E220" i="16"/>
  <c r="H231" i="10" s="1"/>
  <c r="F120" i="16"/>
  <c r="H120" i="16" s="1"/>
  <c r="O124" i="16"/>
  <c r="Q124" i="16" s="1"/>
  <c r="F129" i="16"/>
  <c r="H129" i="16" s="1"/>
  <c r="O133" i="16"/>
  <c r="Q133" i="16" s="1"/>
  <c r="U135" i="16"/>
  <c r="H147" i="16"/>
  <c r="O150" i="16"/>
  <c r="Q150" i="16" s="1"/>
  <c r="F155" i="16"/>
  <c r="F164" i="16"/>
  <c r="H164" i="16" s="1"/>
  <c r="F172" i="16"/>
  <c r="H172" i="16" s="1"/>
  <c r="N176" i="16"/>
  <c r="F181" i="16"/>
  <c r="I202" i="16"/>
  <c r="J202" i="16" s="1"/>
  <c r="O215" i="16"/>
  <c r="I173" i="16"/>
  <c r="O195" i="16"/>
  <c r="O204" i="16"/>
  <c r="Q215" i="16"/>
  <c r="F219" i="16"/>
  <c r="O105" i="16"/>
  <c r="S116" i="16"/>
  <c r="U116" i="16" s="1"/>
  <c r="O132" i="16"/>
  <c r="Q132" i="16" s="1"/>
  <c r="J147" i="16"/>
  <c r="L147" i="16" s="1"/>
  <c r="O149" i="16"/>
  <c r="F154" i="16"/>
  <c r="H154" i="16" s="1"/>
  <c r="F163" i="16"/>
  <c r="H163" i="16" s="1"/>
  <c r="R185" i="16"/>
  <c r="L193" i="16"/>
  <c r="R106" i="16"/>
  <c r="U106" i="16" s="1"/>
  <c r="D109" i="16"/>
  <c r="G118" i="10" s="1"/>
  <c r="F110" i="16"/>
  <c r="H110" i="16" s="1"/>
  <c r="F136" i="16"/>
  <c r="H136" i="16" s="1"/>
  <c r="O140" i="16"/>
  <c r="Q140" i="16" s="1"/>
  <c r="O157" i="16"/>
  <c r="E162" i="16"/>
  <c r="H170" i="10" s="1"/>
  <c r="O166" i="16"/>
  <c r="R176" i="16"/>
  <c r="O183" i="16"/>
  <c r="O194" i="16"/>
  <c r="O203" i="16"/>
  <c r="S215" i="16"/>
  <c r="U215" i="16" s="1"/>
  <c r="F218" i="16"/>
  <c r="E109" i="16"/>
  <c r="H118" i="10" s="1"/>
  <c r="F153" i="16"/>
  <c r="H153" i="16" s="1"/>
  <c r="F170" i="16"/>
  <c r="M173" i="16"/>
  <c r="O174" i="16"/>
  <c r="Q174" i="16" s="1"/>
  <c r="F179" i="16"/>
  <c r="H179" i="16" s="1"/>
  <c r="F198" i="16"/>
  <c r="H198" i="16" s="1"/>
  <c r="N202" i="16"/>
  <c r="Q203" i="16"/>
  <c r="F207" i="16"/>
  <c r="M210" i="16"/>
  <c r="F161" i="16"/>
  <c r="O165" i="16"/>
  <c r="O182" i="16"/>
  <c r="Q182" i="16" s="1"/>
  <c r="E187" i="16"/>
  <c r="H198" i="10" s="1"/>
  <c r="F217" i="16"/>
  <c r="F108" i="16"/>
  <c r="H108" i="16" s="1"/>
  <c r="J110" i="16"/>
  <c r="L110" i="16" s="1"/>
  <c r="O112" i="16"/>
  <c r="Q112" i="16" s="1"/>
  <c r="F117" i="16"/>
  <c r="S140" i="16"/>
  <c r="U140" i="16" s="1"/>
  <c r="I162" i="16"/>
  <c r="Q193" i="16"/>
  <c r="F197" i="16"/>
  <c r="O201" i="16"/>
  <c r="S203" i="16"/>
  <c r="U203" i="16" s="1"/>
  <c r="F206" i="16"/>
  <c r="J153" i="16"/>
  <c r="L153" i="16" s="1"/>
  <c r="O155" i="16"/>
  <c r="O181" i="16"/>
  <c r="D185" i="16"/>
  <c r="G195" i="10" s="1"/>
  <c r="F186" i="16"/>
  <c r="E185" i="16"/>
  <c r="H195" i="10" s="1"/>
  <c r="S193" i="16"/>
  <c r="U193" i="16" s="1"/>
  <c r="E113" i="11"/>
  <c r="E93" i="11"/>
  <c r="E78" i="11"/>
  <c r="E73" i="11"/>
  <c r="E72" i="11"/>
  <c r="E71" i="11"/>
  <c r="E59" i="11"/>
  <c r="E58" i="11"/>
  <c r="E22" i="11"/>
  <c r="E18" i="11"/>
  <c r="E15" i="11"/>
  <c r="E4" i="11"/>
  <c r="E3" i="11"/>
  <c r="D111" i="11"/>
  <c r="D73" i="11"/>
  <c r="D72" i="11"/>
  <c r="D67" i="11"/>
  <c r="D62" i="11"/>
  <c r="D42" i="11"/>
  <c r="D24" i="11"/>
  <c r="D20" i="11"/>
  <c r="D15" i="11"/>
  <c r="D4" i="11"/>
  <c r="D3" i="11"/>
  <c r="C15" i="11"/>
  <c r="C21" i="11"/>
  <c r="C48" i="11"/>
  <c r="C69" i="11"/>
  <c r="C72" i="11"/>
  <c r="C73" i="11"/>
  <c r="C86" i="11"/>
  <c r="C117" i="11"/>
  <c r="C4" i="11"/>
  <c r="C3" i="11"/>
  <c r="A116" i="11"/>
  <c r="A103" i="11"/>
  <c r="A100" i="11"/>
  <c r="A98" i="11"/>
  <c r="A95" i="11"/>
  <c r="A92" i="11"/>
  <c r="A88" i="11"/>
  <c r="A85" i="11"/>
  <c r="A74" i="11"/>
  <c r="A68" i="11"/>
  <c r="A43" i="11"/>
  <c r="A39" i="11"/>
  <c r="A31" i="11"/>
  <c r="A16" i="11"/>
  <c r="A13" i="11"/>
  <c r="A7" i="11"/>
  <c r="A5" i="11"/>
  <c r="B99" i="8"/>
  <c r="G98" i="8"/>
  <c r="F98" i="8"/>
  <c r="H98" i="8" s="1"/>
  <c r="E98" i="8"/>
  <c r="D98" i="8"/>
  <c r="G97" i="8"/>
  <c r="F97" i="8"/>
  <c r="H97" i="8" s="1"/>
  <c r="E97" i="8"/>
  <c r="D97" i="8"/>
  <c r="G96" i="8"/>
  <c r="F96" i="8"/>
  <c r="H96" i="8" s="1"/>
  <c r="E96" i="8"/>
  <c r="D96" i="8"/>
  <c r="G95" i="8"/>
  <c r="F95" i="8"/>
  <c r="H95" i="8" s="1"/>
  <c r="E95" i="8"/>
  <c r="D95" i="8"/>
  <c r="G94" i="8"/>
  <c r="F94" i="8"/>
  <c r="H94" i="8" s="1"/>
  <c r="E94" i="8"/>
  <c r="D94" i="8"/>
  <c r="G93" i="8"/>
  <c r="F93" i="8"/>
  <c r="H93" i="8" s="1"/>
  <c r="E93" i="8"/>
  <c r="D93" i="8"/>
  <c r="G92" i="8"/>
  <c r="F92" i="8"/>
  <c r="H92" i="8" s="1"/>
  <c r="E92" i="8"/>
  <c r="D92" i="8"/>
  <c r="H91" i="8"/>
  <c r="E105" i="11" s="1"/>
  <c r="G91" i="8"/>
  <c r="F91" i="8"/>
  <c r="E91" i="8"/>
  <c r="D91" i="8"/>
  <c r="G90" i="8"/>
  <c r="F90" i="8"/>
  <c r="H90" i="8" s="1"/>
  <c r="E90" i="8"/>
  <c r="D90" i="8"/>
  <c r="G89" i="8"/>
  <c r="B89" i="8"/>
  <c r="G88" i="8"/>
  <c r="F88" i="8"/>
  <c r="E88" i="8"/>
  <c r="D88" i="8"/>
  <c r="G87" i="8"/>
  <c r="F87" i="8"/>
  <c r="H87" i="8" s="1"/>
  <c r="E87" i="8"/>
  <c r="D87" i="8"/>
  <c r="G86" i="8"/>
  <c r="B86" i="8"/>
  <c r="G85" i="8"/>
  <c r="F85" i="8"/>
  <c r="F84" i="8" s="1"/>
  <c r="E85" i="8"/>
  <c r="D85" i="8"/>
  <c r="G84" i="8"/>
  <c r="B84" i="8"/>
  <c r="G83" i="8"/>
  <c r="F83" i="8"/>
  <c r="H83" i="8" s="1"/>
  <c r="E83" i="8"/>
  <c r="D83" i="8"/>
  <c r="G82" i="8"/>
  <c r="F82" i="8"/>
  <c r="F81" i="8" s="1"/>
  <c r="E82" i="8"/>
  <c r="D82" i="8"/>
  <c r="G81" i="8"/>
  <c r="B81" i="8"/>
  <c r="B78" i="8"/>
  <c r="G77" i="8"/>
  <c r="F77" i="8"/>
  <c r="H77" i="8" s="1"/>
  <c r="E77" i="8"/>
  <c r="D77" i="8"/>
  <c r="G76" i="8"/>
  <c r="F76" i="8"/>
  <c r="E76" i="8"/>
  <c r="D76" i="8"/>
  <c r="G75" i="8"/>
  <c r="F75" i="8"/>
  <c r="H75" i="8" s="1"/>
  <c r="E75" i="8"/>
  <c r="D75" i="8"/>
  <c r="G74" i="8"/>
  <c r="G78" i="8" s="1"/>
  <c r="B74" i="8"/>
  <c r="B71" i="8"/>
  <c r="G70" i="8"/>
  <c r="F70" i="8"/>
  <c r="H70" i="8" s="1"/>
  <c r="E70" i="8"/>
  <c r="G69" i="8"/>
  <c r="F69" i="8"/>
  <c r="H69" i="8" s="1"/>
  <c r="K58" i="1" s="1"/>
  <c r="E69" i="8"/>
  <c r="D69" i="8"/>
  <c r="G68" i="8"/>
  <c r="F68" i="8"/>
  <c r="H68" i="8" s="1"/>
  <c r="K56" i="1" s="1"/>
  <c r="E68" i="8"/>
  <c r="D68" i="8"/>
  <c r="G67" i="8"/>
  <c r="F67" i="8"/>
  <c r="H67" i="8" s="1"/>
  <c r="K55" i="1" s="1"/>
  <c r="E67" i="8"/>
  <c r="D67" i="8"/>
  <c r="G66" i="8"/>
  <c r="F66" i="8"/>
  <c r="H66" i="8" s="1"/>
  <c r="K54" i="1" s="1"/>
  <c r="E66" i="8"/>
  <c r="D66" i="8"/>
  <c r="G65" i="8"/>
  <c r="F65" i="8"/>
  <c r="H65" i="8" s="1"/>
  <c r="K53" i="1" s="1"/>
  <c r="E65" i="8"/>
  <c r="D65" i="8"/>
  <c r="G64" i="8"/>
  <c r="F64" i="8"/>
  <c r="E64" i="8"/>
  <c r="D64" i="8"/>
  <c r="G63" i="8"/>
  <c r="G71" i="8" s="1"/>
  <c r="B63" i="8"/>
  <c r="E112" i="11" s="1"/>
  <c r="B56" i="8"/>
  <c r="F55" i="8"/>
  <c r="H55" i="8" s="1"/>
  <c r="E65" i="11" s="1"/>
  <c r="F54" i="8"/>
  <c r="H54" i="8" s="1"/>
  <c r="E64" i="11" s="1"/>
  <c r="F53" i="8"/>
  <c r="H53" i="8" s="1"/>
  <c r="E63" i="11" s="1"/>
  <c r="F52" i="8"/>
  <c r="H52" i="8" s="1"/>
  <c r="E62" i="11" s="1"/>
  <c r="F51" i="8"/>
  <c r="H51" i="8" s="1"/>
  <c r="E61" i="11" s="1"/>
  <c r="F50" i="8"/>
  <c r="H50" i="8" s="1"/>
  <c r="F49" i="8"/>
  <c r="H49" i="8" s="1"/>
  <c r="F48" i="8"/>
  <c r="H48" i="8" s="1"/>
  <c r="E57" i="11" s="1"/>
  <c r="F47" i="8"/>
  <c r="H47" i="8" s="1"/>
  <c r="E56" i="11" s="1"/>
  <c r="F46" i="8"/>
  <c r="H46" i="8" s="1"/>
  <c r="E55" i="11" s="1"/>
  <c r="F45" i="8"/>
  <c r="H45" i="8" s="1"/>
  <c r="E54" i="11" s="1"/>
  <c r="F44" i="8"/>
  <c r="H44" i="8" s="1"/>
  <c r="E53" i="11" s="1"/>
  <c r="F43" i="8"/>
  <c r="H43" i="8" s="1"/>
  <c r="E52" i="11" s="1"/>
  <c r="F42" i="8"/>
  <c r="H42" i="8" s="1"/>
  <c r="E51" i="11" s="1"/>
  <c r="F41" i="8"/>
  <c r="H41" i="8" s="1"/>
  <c r="E50" i="11" s="1"/>
  <c r="F40" i="8"/>
  <c r="H40" i="8" s="1"/>
  <c r="E49" i="11" s="1"/>
  <c r="F39" i="8"/>
  <c r="H39" i="8" s="1"/>
  <c r="E47" i="11" s="1"/>
  <c r="F38" i="8"/>
  <c r="H38" i="8" s="1"/>
  <c r="E45" i="11" s="1"/>
  <c r="F37" i="8"/>
  <c r="G36" i="8"/>
  <c r="B36" i="8"/>
  <c r="F35" i="8"/>
  <c r="H35" i="8" s="1"/>
  <c r="E40" i="11" s="1"/>
  <c r="G34" i="8"/>
  <c r="B34" i="8"/>
  <c r="F33" i="8"/>
  <c r="H33" i="8" s="1"/>
  <c r="E38" i="11" s="1"/>
  <c r="F32" i="8"/>
  <c r="H32" i="8" s="1"/>
  <c r="E37" i="11" s="1"/>
  <c r="F31" i="8"/>
  <c r="H31" i="8" s="1"/>
  <c r="E36" i="11" s="1"/>
  <c r="F30" i="8"/>
  <c r="F29" i="8"/>
  <c r="H29" i="8" s="1"/>
  <c r="E34" i="11" s="1"/>
  <c r="F28" i="8"/>
  <c r="H28" i="8" s="1"/>
  <c r="E33" i="11" s="1"/>
  <c r="G27" i="8"/>
  <c r="B27" i="8"/>
  <c r="F26" i="8"/>
  <c r="H26" i="8" s="1"/>
  <c r="E30" i="11" s="1"/>
  <c r="F25" i="8"/>
  <c r="H25" i="8" s="1"/>
  <c r="E28" i="11" s="1"/>
  <c r="F24" i="8"/>
  <c r="H24" i="8" s="1"/>
  <c r="E27" i="11" s="1"/>
  <c r="F23" i="8"/>
  <c r="H23" i="8" s="1"/>
  <c r="E26" i="11" s="1"/>
  <c r="H22" i="8"/>
  <c r="E23" i="11" s="1"/>
  <c r="F22" i="8"/>
  <c r="F21" i="8"/>
  <c r="H21" i="8" s="1"/>
  <c r="E19" i="11" s="1"/>
  <c r="F20" i="8"/>
  <c r="H20" i="8" s="1"/>
  <c r="E17" i="11" s="1"/>
  <c r="G19" i="8"/>
  <c r="G56" i="8" s="1"/>
  <c r="B19" i="8"/>
  <c r="B16" i="8"/>
  <c r="F15" i="8"/>
  <c r="F14" i="8"/>
  <c r="H14" i="8" s="1"/>
  <c r="E9" i="11" s="1"/>
  <c r="F13" i="8"/>
  <c r="H13" i="8" s="1"/>
  <c r="E8" i="11" s="1"/>
  <c r="G12" i="8"/>
  <c r="B12" i="8"/>
  <c r="F11" i="8"/>
  <c r="H11" i="8" s="1"/>
  <c r="E6" i="11" s="1"/>
  <c r="G10" i="8"/>
  <c r="B10" i="8"/>
  <c r="B5" i="8"/>
  <c r="B102" i="7"/>
  <c r="G101" i="7"/>
  <c r="F101" i="7"/>
  <c r="H101" i="7" s="1"/>
  <c r="D115" i="11" s="1"/>
  <c r="E101" i="7"/>
  <c r="D101" i="7"/>
  <c r="G100" i="7"/>
  <c r="F100" i="7"/>
  <c r="H100" i="7" s="1"/>
  <c r="E100" i="7"/>
  <c r="D100" i="7"/>
  <c r="G99" i="7"/>
  <c r="F99" i="7"/>
  <c r="H99" i="7" s="1"/>
  <c r="E99" i="7"/>
  <c r="D99" i="7"/>
  <c r="G98" i="7"/>
  <c r="F98" i="7"/>
  <c r="H98" i="7" s="1"/>
  <c r="E98" i="7"/>
  <c r="D98" i="7"/>
  <c r="G97" i="7"/>
  <c r="F97" i="7"/>
  <c r="H97" i="7" s="1"/>
  <c r="E97" i="7"/>
  <c r="D97" i="7"/>
  <c r="G96" i="7"/>
  <c r="F96" i="7"/>
  <c r="H96" i="7" s="1"/>
  <c r="E96" i="7"/>
  <c r="D96" i="7"/>
  <c r="G95" i="7"/>
  <c r="F95" i="7"/>
  <c r="H95" i="7" s="1"/>
  <c r="E95" i="7"/>
  <c r="D95" i="7"/>
  <c r="G94" i="7"/>
  <c r="F94" i="7"/>
  <c r="H94" i="7" s="1"/>
  <c r="E94" i="7"/>
  <c r="D94" i="7"/>
  <c r="G93" i="7"/>
  <c r="F93" i="7"/>
  <c r="E93" i="7"/>
  <c r="D93" i="7"/>
  <c r="G92" i="7"/>
  <c r="B92" i="7"/>
  <c r="G91" i="7"/>
  <c r="F91" i="7"/>
  <c r="H91" i="7" s="1"/>
  <c r="D102" i="11" s="1"/>
  <c r="E91" i="7"/>
  <c r="D91" i="7"/>
  <c r="G90" i="7"/>
  <c r="F90" i="7"/>
  <c r="E90" i="7"/>
  <c r="D90" i="7"/>
  <c r="G89" i="7"/>
  <c r="B89" i="7"/>
  <c r="G88" i="7"/>
  <c r="F88" i="7"/>
  <c r="H88" i="7" s="1"/>
  <c r="E88" i="7"/>
  <c r="D88" i="7"/>
  <c r="G87" i="7"/>
  <c r="B87" i="7"/>
  <c r="G86" i="7"/>
  <c r="F86" i="7"/>
  <c r="E86" i="7"/>
  <c r="D86" i="7"/>
  <c r="G85" i="7"/>
  <c r="F85" i="7"/>
  <c r="H85" i="7" s="1"/>
  <c r="D96" i="11" s="1"/>
  <c r="E85" i="7"/>
  <c r="D85" i="7"/>
  <c r="G84" i="7"/>
  <c r="B84" i="7"/>
  <c r="B81" i="7"/>
  <c r="G80" i="7"/>
  <c r="F80" i="7"/>
  <c r="H80" i="7" s="1"/>
  <c r="E80" i="7"/>
  <c r="D80" i="7"/>
  <c r="G79" i="7"/>
  <c r="F79" i="7"/>
  <c r="H79" i="7" s="1"/>
  <c r="D90" i="11" s="1"/>
  <c r="E79" i="7"/>
  <c r="D79" i="7"/>
  <c r="G78" i="7"/>
  <c r="F78" i="7"/>
  <c r="H78" i="7" s="1"/>
  <c r="E78" i="7"/>
  <c r="D78" i="7"/>
  <c r="G77" i="7"/>
  <c r="G81" i="7" s="1"/>
  <c r="B77" i="7"/>
  <c r="B74" i="7"/>
  <c r="G73" i="7"/>
  <c r="F73" i="7"/>
  <c r="H73" i="7" s="1"/>
  <c r="E73" i="7"/>
  <c r="G72" i="7"/>
  <c r="F72" i="7"/>
  <c r="H72" i="7" s="1"/>
  <c r="E72" i="7"/>
  <c r="D72" i="7"/>
  <c r="G71" i="7"/>
  <c r="F71" i="7"/>
  <c r="E71" i="7"/>
  <c r="D71" i="7"/>
  <c r="G70" i="7"/>
  <c r="F70" i="7"/>
  <c r="I55" i="1" s="1"/>
  <c r="E70" i="7"/>
  <c r="D70" i="7"/>
  <c r="G69" i="7"/>
  <c r="F69" i="7"/>
  <c r="H69" i="7" s="1"/>
  <c r="J54" i="1" s="1"/>
  <c r="E69" i="7"/>
  <c r="D69" i="7"/>
  <c r="G68" i="7"/>
  <c r="F68" i="7"/>
  <c r="E68" i="7"/>
  <c r="D68" i="7"/>
  <c r="G67" i="7"/>
  <c r="F67" i="7"/>
  <c r="C75" i="11" s="1"/>
  <c r="E67" i="7"/>
  <c r="D67" i="7"/>
  <c r="G66" i="7"/>
  <c r="G74" i="7" s="1"/>
  <c r="B66" i="7"/>
  <c r="D110" i="11" s="1"/>
  <c r="B59" i="7"/>
  <c r="F58" i="7"/>
  <c r="C65" i="11" s="1"/>
  <c r="F57" i="7"/>
  <c r="H57" i="7" s="1"/>
  <c r="D64" i="11" s="1"/>
  <c r="F56" i="7"/>
  <c r="H56" i="7" s="1"/>
  <c r="D63" i="11" s="1"/>
  <c r="F55" i="7"/>
  <c r="H55" i="7" s="1"/>
  <c r="F54" i="7"/>
  <c r="H54" i="7" s="1"/>
  <c r="D59" i="11" s="1"/>
  <c r="F53" i="7"/>
  <c r="H53" i="7" s="1"/>
  <c r="D58" i="11" s="1"/>
  <c r="F52" i="7"/>
  <c r="C57" i="11" s="1"/>
  <c r="F51" i="7"/>
  <c r="C56" i="11" s="1"/>
  <c r="F50" i="7"/>
  <c r="H50" i="7" s="1"/>
  <c r="D55" i="11" s="1"/>
  <c r="F49" i="7"/>
  <c r="C54" i="11" s="1"/>
  <c r="F48" i="7"/>
  <c r="H48" i="7" s="1"/>
  <c r="D53" i="11" s="1"/>
  <c r="F47" i="7"/>
  <c r="H47" i="7" s="1"/>
  <c r="D52" i="11" s="1"/>
  <c r="F46" i="7"/>
  <c r="H46" i="7" s="1"/>
  <c r="D51" i="11" s="1"/>
  <c r="F45" i="7"/>
  <c r="H45" i="7" s="1"/>
  <c r="D50" i="11" s="1"/>
  <c r="F44" i="7"/>
  <c r="C49" i="11" s="1"/>
  <c r="F43" i="7"/>
  <c r="F42" i="7"/>
  <c r="H42" i="7" s="1"/>
  <c r="D46" i="11" s="1"/>
  <c r="F41" i="7"/>
  <c r="H41" i="7" s="1"/>
  <c r="D45" i="11" s="1"/>
  <c r="F40" i="7"/>
  <c r="H40" i="7" s="1"/>
  <c r="D44" i="11" s="1"/>
  <c r="G39" i="7"/>
  <c r="B39" i="7"/>
  <c r="F38" i="7"/>
  <c r="H38" i="7" s="1"/>
  <c r="D40" i="11" s="1"/>
  <c r="G37" i="7"/>
  <c r="F37" i="7"/>
  <c r="H37" i="7" s="1"/>
  <c r="B37" i="7"/>
  <c r="F36" i="7"/>
  <c r="C38" i="11" s="1"/>
  <c r="F35" i="7"/>
  <c r="C37" i="11" s="1"/>
  <c r="F34" i="7"/>
  <c r="H34" i="7" s="1"/>
  <c r="D36" i="11" s="1"/>
  <c r="F33" i="7"/>
  <c r="H33" i="7" s="1"/>
  <c r="D35" i="11" s="1"/>
  <c r="F32" i="7"/>
  <c r="H32" i="7" s="1"/>
  <c r="D34" i="11" s="1"/>
  <c r="F31" i="7"/>
  <c r="H31" i="7" s="1"/>
  <c r="D33" i="11" s="1"/>
  <c r="F30" i="7"/>
  <c r="G29" i="7"/>
  <c r="B29" i="7"/>
  <c r="F28" i="7"/>
  <c r="H28" i="7" s="1"/>
  <c r="D30" i="11" s="1"/>
  <c r="F27" i="7"/>
  <c r="H27" i="7" s="1"/>
  <c r="D29" i="11" s="1"/>
  <c r="F26" i="7"/>
  <c r="H26" i="7" s="1"/>
  <c r="D28" i="11" s="1"/>
  <c r="F25" i="7"/>
  <c r="H25" i="7" s="1"/>
  <c r="D27" i="11" s="1"/>
  <c r="F24" i="7"/>
  <c r="H24" i="7" s="1"/>
  <c r="D26" i="11" s="1"/>
  <c r="F23" i="7"/>
  <c r="H23" i="7" s="1"/>
  <c r="D25" i="11" s="1"/>
  <c r="F22" i="7"/>
  <c r="H22" i="7" s="1"/>
  <c r="D19" i="11" s="1"/>
  <c r="F21" i="7"/>
  <c r="H21" i="7" s="1"/>
  <c r="D18" i="11" s="1"/>
  <c r="F20" i="7"/>
  <c r="H20" i="7" s="1"/>
  <c r="D17" i="11" s="1"/>
  <c r="G19" i="7"/>
  <c r="B19" i="7"/>
  <c r="B16" i="7"/>
  <c r="F15" i="7"/>
  <c r="H15" i="7" s="1"/>
  <c r="D10" i="11" s="1"/>
  <c r="F14" i="7"/>
  <c r="C9" i="11" s="1"/>
  <c r="F13" i="7"/>
  <c r="C8" i="11" s="1"/>
  <c r="G12" i="7"/>
  <c r="B12" i="7"/>
  <c r="F11" i="7"/>
  <c r="H11" i="7" s="1"/>
  <c r="D6" i="11" s="1"/>
  <c r="G10" i="7"/>
  <c r="G16" i="7" s="1"/>
  <c r="B10" i="7"/>
  <c r="B5" i="7"/>
  <c r="D193" i="6"/>
  <c r="D194" i="6" s="1"/>
  <c r="I232" i="10" s="1"/>
  <c r="B193" i="6"/>
  <c r="D192" i="6"/>
  <c r="D186" i="6"/>
  <c r="B186" i="6"/>
  <c r="D185" i="6"/>
  <c r="D184" i="6"/>
  <c r="D183" i="6"/>
  <c r="D182" i="6"/>
  <c r="D181" i="6"/>
  <c r="D187" i="6" s="1"/>
  <c r="I221" i="10" s="1"/>
  <c r="B181" i="6"/>
  <c r="D180" i="6"/>
  <c r="B178" i="6"/>
  <c r="D177" i="6"/>
  <c r="D176" i="6"/>
  <c r="D175" i="6"/>
  <c r="D174" i="6"/>
  <c r="D173" i="6"/>
  <c r="D178" i="6" s="1"/>
  <c r="D167" i="6"/>
  <c r="B167" i="6"/>
  <c r="D166" i="6"/>
  <c r="D165" i="6"/>
  <c r="D164" i="6"/>
  <c r="D163" i="6"/>
  <c r="D162" i="6"/>
  <c r="D161" i="6"/>
  <c r="D160" i="6"/>
  <c r="D159" i="6"/>
  <c r="D158" i="6"/>
  <c r="B158" i="6"/>
  <c r="D157" i="6"/>
  <c r="D156" i="6"/>
  <c r="D155" i="6"/>
  <c r="B155" i="6"/>
  <c r="D154" i="6"/>
  <c r="D153" i="6"/>
  <c r="D152" i="6"/>
  <c r="D151" i="6"/>
  <c r="D150" i="6"/>
  <c r="D149" i="6"/>
  <c r="D148" i="6"/>
  <c r="D147" i="6"/>
  <c r="D146" i="6"/>
  <c r="D145" i="6"/>
  <c r="B145" i="6"/>
  <c r="D144" i="6"/>
  <c r="D143" i="6"/>
  <c r="B143" i="6"/>
  <c r="D142" i="6"/>
  <c r="D141" i="6"/>
  <c r="D140" i="6"/>
  <c r="D139" i="6"/>
  <c r="D138" i="6"/>
  <c r="D137" i="6"/>
  <c r="D136" i="6"/>
  <c r="D135" i="6"/>
  <c r="B135" i="6"/>
  <c r="D134" i="6"/>
  <c r="D133" i="6"/>
  <c r="D132" i="6"/>
  <c r="D131" i="6"/>
  <c r="D130" i="6"/>
  <c r="B130" i="6"/>
  <c r="D129" i="6"/>
  <c r="D128" i="6"/>
  <c r="D127" i="6"/>
  <c r="D126" i="6"/>
  <c r="D125" i="6"/>
  <c r="D124" i="6"/>
  <c r="B124" i="6"/>
  <c r="D123" i="6"/>
  <c r="D122" i="6"/>
  <c r="D121" i="6"/>
  <c r="D120" i="6"/>
  <c r="D119" i="6"/>
  <c r="D118" i="6"/>
  <c r="D117" i="6"/>
  <c r="D116" i="6"/>
  <c r="B116" i="6"/>
  <c r="D115" i="6"/>
  <c r="D114" i="6"/>
  <c r="D113" i="6"/>
  <c r="D112" i="6"/>
  <c r="D111" i="6"/>
  <c r="B111" i="6"/>
  <c r="D110" i="6"/>
  <c r="D109" i="6"/>
  <c r="D108" i="6"/>
  <c r="D107" i="6"/>
  <c r="D106" i="6"/>
  <c r="B106" i="6"/>
  <c r="D105" i="6"/>
  <c r="D104" i="6"/>
  <c r="D103" i="6"/>
  <c r="D102" i="6"/>
  <c r="D101" i="6"/>
  <c r="D100" i="6"/>
  <c r="B100" i="6"/>
  <c r="D99" i="6"/>
  <c r="D98" i="6"/>
  <c r="D97" i="6"/>
  <c r="D96" i="6"/>
  <c r="D95" i="6"/>
  <c r="B94" i="6"/>
  <c r="D93" i="6"/>
  <c r="D94" i="6" s="1"/>
  <c r="D92" i="6"/>
  <c r="I116" i="10" s="1"/>
  <c r="D91" i="6"/>
  <c r="B91" i="6"/>
  <c r="D90" i="6"/>
  <c r="D89" i="6"/>
  <c r="B89" i="6"/>
  <c r="D88" i="6"/>
  <c r="D87" i="6"/>
  <c r="D86" i="6"/>
  <c r="D85" i="6"/>
  <c r="D84" i="6"/>
  <c r="D83" i="6"/>
  <c r="D82" i="6"/>
  <c r="D81" i="6"/>
  <c r="D80" i="6"/>
  <c r="D79" i="6"/>
  <c r="B79" i="6"/>
  <c r="D78" i="6"/>
  <c r="D77" i="6"/>
  <c r="D76" i="6"/>
  <c r="D75" i="6"/>
  <c r="B75" i="6"/>
  <c r="D74" i="6"/>
  <c r="D73" i="6"/>
  <c r="D72" i="6"/>
  <c r="B72" i="6"/>
  <c r="D71" i="6"/>
  <c r="D70" i="6"/>
  <c r="D69" i="6"/>
  <c r="D68" i="6"/>
  <c r="B68" i="6"/>
  <c r="D67" i="6"/>
  <c r="D66" i="6"/>
  <c r="D65" i="6"/>
  <c r="D64" i="6"/>
  <c r="D63" i="6"/>
  <c r="D62" i="6"/>
  <c r="D61" i="6"/>
  <c r="B61" i="6"/>
  <c r="D60" i="6"/>
  <c r="D59" i="6"/>
  <c r="D58" i="6"/>
  <c r="D57" i="6"/>
  <c r="D56" i="6"/>
  <c r="D55" i="6"/>
  <c r="D54" i="6"/>
  <c r="D53" i="6"/>
  <c r="D52" i="6"/>
  <c r="D51" i="6"/>
  <c r="D49" i="6"/>
  <c r="B49" i="6"/>
  <c r="D48" i="6"/>
  <c r="D47" i="6"/>
  <c r="D46" i="6"/>
  <c r="D42" i="6"/>
  <c r="D43" i="6" s="1"/>
  <c r="I43" i="10" s="1"/>
  <c r="B42" i="6"/>
  <c r="D41" i="6"/>
  <c r="D40" i="6"/>
  <c r="D39" i="6"/>
  <c r="D38" i="6"/>
  <c r="B38" i="6"/>
  <c r="D37" i="6"/>
  <c r="D36" i="6"/>
  <c r="D35" i="6"/>
  <c r="D34" i="6"/>
  <c r="D33" i="6"/>
  <c r="B33" i="6"/>
  <c r="D32" i="6"/>
  <c r="D31" i="6"/>
  <c r="D30" i="6"/>
  <c r="D29" i="6"/>
  <c r="D28" i="6"/>
  <c r="I24" i="10" s="1"/>
  <c r="D27" i="6"/>
  <c r="B27" i="6"/>
  <c r="D26" i="6"/>
  <c r="D25" i="6"/>
  <c r="D23" i="6"/>
  <c r="B23" i="6"/>
  <c r="D22" i="6"/>
  <c r="D21" i="6"/>
  <c r="D20" i="6"/>
  <c r="D19" i="6"/>
  <c r="D18" i="6"/>
  <c r="D17" i="6"/>
  <c r="D16" i="6"/>
  <c r="B16" i="6"/>
  <c r="D15" i="6"/>
  <c r="D14" i="6"/>
  <c r="B14" i="6"/>
  <c r="D13" i="6"/>
  <c r="D12" i="6"/>
  <c r="B9" i="6"/>
  <c r="D7" i="6"/>
  <c r="C7" i="6"/>
  <c r="D6" i="6"/>
  <c r="C6" i="6"/>
  <c r="D5" i="6"/>
  <c r="C5" i="6"/>
  <c r="R215" i="4"/>
  <c r="N215" i="4"/>
  <c r="Q215" i="4" s="1"/>
  <c r="M215" i="4"/>
  <c r="S215" i="4" s="1"/>
  <c r="I215" i="4"/>
  <c r="I216" i="4" s="1"/>
  <c r="E215" i="4"/>
  <c r="E216" i="4" s="1"/>
  <c r="D215" i="4"/>
  <c r="D216" i="4" s="1"/>
  <c r="B215" i="4"/>
  <c r="S214" i="4"/>
  <c r="U214" i="4" s="1"/>
  <c r="R214" i="4"/>
  <c r="Q214" i="4"/>
  <c r="O214" i="4"/>
  <c r="N214" i="4"/>
  <c r="M214" i="4"/>
  <c r="J214" i="4"/>
  <c r="L214" i="4" s="1"/>
  <c r="I214" i="4"/>
  <c r="H214" i="4"/>
  <c r="F214" i="4"/>
  <c r="E214" i="4"/>
  <c r="D214" i="4"/>
  <c r="U213" i="4"/>
  <c r="S213" i="4"/>
  <c r="R213" i="4"/>
  <c r="Q213" i="4"/>
  <c r="O213" i="4"/>
  <c r="N213" i="4"/>
  <c r="M213" i="4"/>
  <c r="L213" i="4"/>
  <c r="J213" i="4"/>
  <c r="I213" i="4"/>
  <c r="H213" i="4"/>
  <c r="F213" i="4"/>
  <c r="E213" i="4"/>
  <c r="D213" i="4"/>
  <c r="U212" i="4"/>
  <c r="S212" i="4"/>
  <c r="R212" i="4"/>
  <c r="Q212" i="4"/>
  <c r="O212" i="4"/>
  <c r="N212" i="4"/>
  <c r="M212" i="4"/>
  <c r="L212" i="4"/>
  <c r="J212" i="4"/>
  <c r="I212" i="4"/>
  <c r="H212" i="4"/>
  <c r="F212" i="4"/>
  <c r="E212" i="4"/>
  <c r="D212" i="4"/>
  <c r="S211" i="4"/>
  <c r="U211" i="4" s="1"/>
  <c r="R211" i="4"/>
  <c r="Q211" i="4"/>
  <c r="O211" i="4"/>
  <c r="N211" i="4"/>
  <c r="M211" i="4"/>
  <c r="J211" i="4"/>
  <c r="L211" i="4" s="1"/>
  <c r="I211" i="4"/>
  <c r="H211" i="4"/>
  <c r="F211" i="4"/>
  <c r="E211" i="4"/>
  <c r="D211" i="4"/>
  <c r="R205" i="4"/>
  <c r="R206" i="4" s="1"/>
  <c r="N205" i="4"/>
  <c r="Q205" i="4" s="1"/>
  <c r="M205" i="4"/>
  <c r="I205" i="4"/>
  <c r="E205" i="4"/>
  <c r="D205" i="4"/>
  <c r="D206" i="4" s="1"/>
  <c r="B205" i="4"/>
  <c r="S204" i="4"/>
  <c r="U204" i="4" s="1"/>
  <c r="R204" i="4"/>
  <c r="Q204" i="4"/>
  <c r="O204" i="4"/>
  <c r="N204" i="4"/>
  <c r="M204" i="4"/>
  <c r="J204" i="4"/>
  <c r="L204" i="4" s="1"/>
  <c r="I204" i="4"/>
  <c r="H204" i="4"/>
  <c r="F204" i="4"/>
  <c r="E204" i="4"/>
  <c r="D204" i="4"/>
  <c r="S203" i="4"/>
  <c r="U203" i="4" s="1"/>
  <c r="R203" i="4"/>
  <c r="Q203" i="4"/>
  <c r="O203" i="4"/>
  <c r="N203" i="4"/>
  <c r="M203" i="4"/>
  <c r="J203" i="4"/>
  <c r="L203" i="4" s="1"/>
  <c r="I203" i="4"/>
  <c r="H203" i="4"/>
  <c r="F203" i="4"/>
  <c r="E203" i="4"/>
  <c r="D203" i="4"/>
  <c r="S202" i="4"/>
  <c r="U202" i="4" s="1"/>
  <c r="R202" i="4"/>
  <c r="Q202" i="4"/>
  <c r="O202" i="4"/>
  <c r="N202" i="4"/>
  <c r="M202" i="4"/>
  <c r="J202" i="4"/>
  <c r="L202" i="4" s="1"/>
  <c r="I202" i="4"/>
  <c r="H202" i="4"/>
  <c r="F202" i="4"/>
  <c r="E202" i="4"/>
  <c r="D202" i="4"/>
  <c r="U201" i="4"/>
  <c r="S201" i="4"/>
  <c r="R201" i="4"/>
  <c r="Q201" i="4"/>
  <c r="O201" i="4"/>
  <c r="N201" i="4"/>
  <c r="M201" i="4"/>
  <c r="L201" i="4"/>
  <c r="J201" i="4"/>
  <c r="I201" i="4"/>
  <c r="H201" i="4"/>
  <c r="F201" i="4"/>
  <c r="E201" i="4"/>
  <c r="D201" i="4"/>
  <c r="S200" i="4"/>
  <c r="U200" i="4" s="1"/>
  <c r="R200" i="4"/>
  <c r="Q200" i="4"/>
  <c r="O200" i="4"/>
  <c r="N200" i="4"/>
  <c r="M200" i="4"/>
  <c r="J200" i="4"/>
  <c r="L200" i="4" s="1"/>
  <c r="I200" i="4"/>
  <c r="H200" i="4"/>
  <c r="F200" i="4"/>
  <c r="E200" i="4"/>
  <c r="D200" i="4"/>
  <c r="R198" i="4"/>
  <c r="N198" i="4"/>
  <c r="N199" i="4" s="1"/>
  <c r="M198" i="4"/>
  <c r="I198" i="4"/>
  <c r="I199" i="4" s="1"/>
  <c r="E198" i="4"/>
  <c r="E199" i="4" s="1"/>
  <c r="D198" i="4"/>
  <c r="B198" i="4"/>
  <c r="U197" i="4"/>
  <c r="S197" i="4"/>
  <c r="R197" i="4"/>
  <c r="O197" i="4"/>
  <c r="Q197" i="4" s="1"/>
  <c r="N197" i="4"/>
  <c r="M197" i="4"/>
  <c r="L197" i="4"/>
  <c r="J197" i="4"/>
  <c r="I197" i="4"/>
  <c r="F197" i="4"/>
  <c r="H197" i="4" s="1"/>
  <c r="E197" i="4"/>
  <c r="D197" i="4"/>
  <c r="S196" i="4"/>
  <c r="U196" i="4" s="1"/>
  <c r="R196" i="4"/>
  <c r="Q196" i="4"/>
  <c r="O196" i="4"/>
  <c r="N196" i="4"/>
  <c r="M196" i="4"/>
  <c r="J196" i="4"/>
  <c r="L196" i="4" s="1"/>
  <c r="I196" i="4"/>
  <c r="H196" i="4"/>
  <c r="F196" i="4"/>
  <c r="E196" i="4"/>
  <c r="D196" i="4"/>
  <c r="S195" i="4"/>
  <c r="U195" i="4" s="1"/>
  <c r="R195" i="4"/>
  <c r="Q195" i="4"/>
  <c r="O195" i="4"/>
  <c r="N195" i="4"/>
  <c r="M195" i="4"/>
  <c r="J195" i="4"/>
  <c r="L195" i="4" s="1"/>
  <c r="I195" i="4"/>
  <c r="H195" i="4"/>
  <c r="F195" i="4"/>
  <c r="E195" i="4"/>
  <c r="D195" i="4"/>
  <c r="S194" i="4"/>
  <c r="U194" i="4" s="1"/>
  <c r="R194" i="4"/>
  <c r="Q194" i="4"/>
  <c r="O194" i="4"/>
  <c r="N194" i="4"/>
  <c r="M194" i="4"/>
  <c r="J194" i="4"/>
  <c r="L194" i="4" s="1"/>
  <c r="I194" i="4"/>
  <c r="H194" i="4"/>
  <c r="F194" i="4"/>
  <c r="E194" i="4"/>
  <c r="D194" i="4"/>
  <c r="R188" i="4"/>
  <c r="N188" i="4"/>
  <c r="Q188" i="4" s="1"/>
  <c r="M188" i="4"/>
  <c r="S188" i="4" s="1"/>
  <c r="U188" i="4" s="1"/>
  <c r="I188" i="4"/>
  <c r="E188" i="4"/>
  <c r="H188" i="4" s="1"/>
  <c r="D188" i="4"/>
  <c r="B188" i="4"/>
  <c r="S187" i="4"/>
  <c r="U187" i="4" s="1"/>
  <c r="R187" i="4"/>
  <c r="Q187" i="4"/>
  <c r="O187" i="4"/>
  <c r="N187" i="4"/>
  <c r="M187" i="4"/>
  <c r="J187" i="4"/>
  <c r="L187" i="4" s="1"/>
  <c r="I187" i="4"/>
  <c r="H187" i="4"/>
  <c r="F187" i="4"/>
  <c r="E187" i="4"/>
  <c r="D187" i="4"/>
  <c r="S186" i="4"/>
  <c r="U186" i="4" s="1"/>
  <c r="R186" i="4"/>
  <c r="Q186" i="4"/>
  <c r="O186" i="4"/>
  <c r="N186" i="4"/>
  <c r="M186" i="4"/>
  <c r="J186" i="4"/>
  <c r="L186" i="4" s="1"/>
  <c r="I186" i="4"/>
  <c r="H186" i="4"/>
  <c r="F186" i="4"/>
  <c r="E186" i="4"/>
  <c r="D186" i="4"/>
  <c r="R185" i="4"/>
  <c r="N185" i="4"/>
  <c r="M185" i="4"/>
  <c r="O185" i="4" s="1"/>
  <c r="Q185" i="4" s="1"/>
  <c r="I185" i="4"/>
  <c r="E185" i="4"/>
  <c r="D185" i="4"/>
  <c r="B185" i="4"/>
  <c r="S184" i="4"/>
  <c r="U184" i="4" s="1"/>
  <c r="R184" i="4"/>
  <c r="O184" i="4"/>
  <c r="Q184" i="4" s="1"/>
  <c r="N184" i="4"/>
  <c r="M184" i="4"/>
  <c r="J184" i="4"/>
  <c r="L184" i="4" s="1"/>
  <c r="I184" i="4"/>
  <c r="F184" i="4"/>
  <c r="H184" i="4" s="1"/>
  <c r="E184" i="4"/>
  <c r="D184" i="4"/>
  <c r="U183" i="4"/>
  <c r="S183" i="4"/>
  <c r="R183" i="4"/>
  <c r="Q183" i="4"/>
  <c r="O183" i="4"/>
  <c r="N183" i="4"/>
  <c r="M183" i="4"/>
  <c r="J183" i="4"/>
  <c r="L183" i="4" s="1"/>
  <c r="I183" i="4"/>
  <c r="F183" i="4"/>
  <c r="H183" i="4" s="1"/>
  <c r="E183" i="4"/>
  <c r="D183" i="4"/>
  <c r="S182" i="4"/>
  <c r="U182" i="4" s="1"/>
  <c r="R182" i="4"/>
  <c r="O182" i="4"/>
  <c r="Q182" i="4" s="1"/>
  <c r="N182" i="4"/>
  <c r="M182" i="4"/>
  <c r="L182" i="4"/>
  <c r="J182" i="4"/>
  <c r="I182" i="4"/>
  <c r="F182" i="4"/>
  <c r="H182" i="4" s="1"/>
  <c r="E182" i="4"/>
  <c r="D182" i="4"/>
  <c r="S181" i="4"/>
  <c r="U181" i="4" s="1"/>
  <c r="R181" i="4"/>
  <c r="O181" i="4"/>
  <c r="Q181" i="4" s="1"/>
  <c r="N181" i="4"/>
  <c r="M181" i="4"/>
  <c r="J181" i="4"/>
  <c r="L181" i="4" s="1"/>
  <c r="I181" i="4"/>
  <c r="F181" i="4"/>
  <c r="H181" i="4" s="1"/>
  <c r="E181" i="4"/>
  <c r="D181" i="4"/>
  <c r="S180" i="4"/>
  <c r="U180" i="4" s="1"/>
  <c r="R180" i="4"/>
  <c r="O180" i="4"/>
  <c r="Q180" i="4" s="1"/>
  <c r="N180" i="4"/>
  <c r="M180" i="4"/>
  <c r="J180" i="4"/>
  <c r="L180" i="4" s="1"/>
  <c r="I180" i="4"/>
  <c r="F180" i="4"/>
  <c r="H180" i="4" s="1"/>
  <c r="E180" i="4"/>
  <c r="D180" i="4"/>
  <c r="S179" i="4"/>
  <c r="U179" i="4" s="1"/>
  <c r="R179" i="4"/>
  <c r="O179" i="4"/>
  <c r="Q179" i="4" s="1"/>
  <c r="N179" i="4"/>
  <c r="M179" i="4"/>
  <c r="J179" i="4"/>
  <c r="L179" i="4" s="1"/>
  <c r="I179" i="4"/>
  <c r="F179" i="4"/>
  <c r="H179" i="4" s="1"/>
  <c r="E179" i="4"/>
  <c r="D179" i="4"/>
  <c r="U178" i="4"/>
  <c r="S178" i="4"/>
  <c r="R178" i="4"/>
  <c r="O178" i="4"/>
  <c r="Q178" i="4" s="1"/>
  <c r="N178" i="4"/>
  <c r="M178" i="4"/>
  <c r="L178" i="4"/>
  <c r="J178" i="4"/>
  <c r="I178" i="4"/>
  <c r="F178" i="4"/>
  <c r="H178" i="4" s="1"/>
  <c r="E178" i="4"/>
  <c r="D178" i="4"/>
  <c r="R177" i="4"/>
  <c r="N177" i="4"/>
  <c r="M177" i="4"/>
  <c r="O177" i="4" s="1"/>
  <c r="I177" i="4"/>
  <c r="E177" i="4"/>
  <c r="D177" i="4"/>
  <c r="B177" i="4"/>
  <c r="S176" i="4"/>
  <c r="U176" i="4" s="1"/>
  <c r="R176" i="4"/>
  <c r="O176" i="4"/>
  <c r="Q176" i="4" s="1"/>
  <c r="N176" i="4"/>
  <c r="M176" i="4"/>
  <c r="J176" i="4"/>
  <c r="L176" i="4" s="1"/>
  <c r="I176" i="4"/>
  <c r="F176" i="4"/>
  <c r="H176" i="4" s="1"/>
  <c r="E176" i="4"/>
  <c r="D176" i="4"/>
  <c r="S175" i="4"/>
  <c r="U175" i="4" s="1"/>
  <c r="R175" i="4"/>
  <c r="O175" i="4"/>
  <c r="Q175" i="4" s="1"/>
  <c r="N175" i="4"/>
  <c r="M175" i="4"/>
  <c r="J175" i="4"/>
  <c r="L175" i="4" s="1"/>
  <c r="I175" i="4"/>
  <c r="F175" i="4"/>
  <c r="H175" i="4" s="1"/>
  <c r="E175" i="4"/>
  <c r="D175" i="4"/>
  <c r="R174" i="4"/>
  <c r="N174" i="4"/>
  <c r="M174" i="4"/>
  <c r="I174" i="4"/>
  <c r="E174" i="4"/>
  <c r="D174" i="4"/>
  <c r="J174" i="4" s="1"/>
  <c r="L174" i="4" s="1"/>
  <c r="B174" i="4"/>
  <c r="S173" i="4"/>
  <c r="U173" i="4" s="1"/>
  <c r="R173" i="4"/>
  <c r="O173" i="4"/>
  <c r="Q173" i="4" s="1"/>
  <c r="N173" i="4"/>
  <c r="M173" i="4"/>
  <c r="J173" i="4"/>
  <c r="L173" i="4" s="1"/>
  <c r="I173" i="4"/>
  <c r="F173" i="4"/>
  <c r="H173" i="4" s="1"/>
  <c r="E173" i="4"/>
  <c r="D173" i="4"/>
  <c r="S172" i="4"/>
  <c r="U172" i="4" s="1"/>
  <c r="R172" i="4"/>
  <c r="O172" i="4"/>
  <c r="Q172" i="4" s="1"/>
  <c r="N172" i="4"/>
  <c r="M172" i="4"/>
  <c r="J172" i="4"/>
  <c r="L172" i="4" s="1"/>
  <c r="I172" i="4"/>
  <c r="F172" i="4"/>
  <c r="H172" i="4" s="1"/>
  <c r="E172" i="4"/>
  <c r="D172" i="4"/>
  <c r="U171" i="4"/>
  <c r="S171" i="4"/>
  <c r="R171" i="4"/>
  <c r="Q171" i="4"/>
  <c r="O171" i="4"/>
  <c r="N171" i="4"/>
  <c r="M171" i="4"/>
  <c r="L171" i="4"/>
  <c r="J171" i="4"/>
  <c r="I171" i="4"/>
  <c r="H171" i="4"/>
  <c r="F171" i="4"/>
  <c r="E171" i="4"/>
  <c r="D171" i="4"/>
  <c r="S170" i="4"/>
  <c r="U170" i="4" s="1"/>
  <c r="R170" i="4"/>
  <c r="O170" i="4"/>
  <c r="Q170" i="4" s="1"/>
  <c r="N170" i="4"/>
  <c r="M170" i="4"/>
  <c r="J170" i="4"/>
  <c r="L170" i="4" s="1"/>
  <c r="I170" i="4"/>
  <c r="F170" i="4"/>
  <c r="H170" i="4" s="1"/>
  <c r="E170" i="4"/>
  <c r="D170" i="4"/>
  <c r="S169" i="4"/>
  <c r="U169" i="4" s="1"/>
  <c r="R169" i="4"/>
  <c r="Q169" i="4"/>
  <c r="O169" i="4"/>
  <c r="N169" i="4"/>
  <c r="M169" i="4"/>
  <c r="J169" i="4"/>
  <c r="L169" i="4" s="1"/>
  <c r="I169" i="4"/>
  <c r="F169" i="4"/>
  <c r="H169" i="4" s="1"/>
  <c r="E169" i="4"/>
  <c r="D169" i="4"/>
  <c r="S168" i="4"/>
  <c r="U168" i="4" s="1"/>
  <c r="R168" i="4"/>
  <c r="Q168" i="4"/>
  <c r="O168" i="4"/>
  <c r="N168" i="4"/>
  <c r="M168" i="4"/>
  <c r="J168" i="4"/>
  <c r="L168" i="4" s="1"/>
  <c r="I168" i="4"/>
  <c r="H168" i="4"/>
  <c r="F168" i="4"/>
  <c r="E168" i="4"/>
  <c r="D168" i="4"/>
  <c r="S167" i="4"/>
  <c r="U167" i="4" s="1"/>
  <c r="R167" i="4"/>
  <c r="O167" i="4"/>
  <c r="Q167" i="4" s="1"/>
  <c r="N167" i="4"/>
  <c r="M167" i="4"/>
  <c r="J167" i="4"/>
  <c r="L167" i="4" s="1"/>
  <c r="I167" i="4"/>
  <c r="F167" i="4"/>
  <c r="H167" i="4" s="1"/>
  <c r="E167" i="4"/>
  <c r="D167" i="4"/>
  <c r="S166" i="4"/>
  <c r="U166" i="4" s="1"/>
  <c r="R166" i="4"/>
  <c r="Q166" i="4"/>
  <c r="O166" i="4"/>
  <c r="N166" i="4"/>
  <c r="M166" i="4"/>
  <c r="J166" i="4"/>
  <c r="L166" i="4" s="1"/>
  <c r="I166" i="4"/>
  <c r="H166" i="4"/>
  <c r="F166" i="4"/>
  <c r="E166" i="4"/>
  <c r="D166" i="4"/>
  <c r="U165" i="4"/>
  <c r="S165" i="4"/>
  <c r="R165" i="4"/>
  <c r="Q165" i="4"/>
  <c r="O165" i="4"/>
  <c r="N165" i="4"/>
  <c r="M165" i="4"/>
  <c r="L165" i="4"/>
  <c r="J165" i="4"/>
  <c r="I165" i="4"/>
  <c r="H165" i="4"/>
  <c r="F165" i="4"/>
  <c r="E165" i="4"/>
  <c r="D165" i="4"/>
  <c r="S164" i="4"/>
  <c r="U164" i="4" s="1"/>
  <c r="R164" i="4"/>
  <c r="O164" i="4"/>
  <c r="Q164" i="4" s="1"/>
  <c r="N164" i="4"/>
  <c r="M164" i="4"/>
  <c r="J164" i="4"/>
  <c r="L164" i="4" s="1"/>
  <c r="I164" i="4"/>
  <c r="F164" i="4"/>
  <c r="H164" i="4" s="1"/>
  <c r="E164" i="4"/>
  <c r="D164" i="4"/>
  <c r="S163" i="4"/>
  <c r="U163" i="4" s="1"/>
  <c r="R163" i="4"/>
  <c r="O163" i="4"/>
  <c r="Q163" i="4" s="1"/>
  <c r="N163" i="4"/>
  <c r="M163" i="4"/>
  <c r="J163" i="4"/>
  <c r="L163" i="4" s="1"/>
  <c r="I163" i="4"/>
  <c r="F163" i="4"/>
  <c r="H163" i="4" s="1"/>
  <c r="E163" i="4"/>
  <c r="D163" i="4"/>
  <c r="R162" i="4"/>
  <c r="N162" i="4"/>
  <c r="M162" i="4"/>
  <c r="I162" i="4"/>
  <c r="E162" i="4"/>
  <c r="D162" i="4"/>
  <c r="J162" i="4" s="1"/>
  <c r="B162" i="4"/>
  <c r="U161" i="4"/>
  <c r="S161" i="4"/>
  <c r="R161" i="4"/>
  <c r="Q161" i="4"/>
  <c r="O161" i="4"/>
  <c r="N161" i="4"/>
  <c r="M161" i="4"/>
  <c r="J161" i="4"/>
  <c r="L161" i="4" s="1"/>
  <c r="I161" i="4"/>
  <c r="H161" i="4"/>
  <c r="F161" i="4"/>
  <c r="E161" i="4"/>
  <c r="D161" i="4"/>
  <c r="S160" i="4"/>
  <c r="U160" i="4" s="1"/>
  <c r="R160" i="4"/>
  <c r="Q160" i="4"/>
  <c r="O160" i="4"/>
  <c r="N160" i="4"/>
  <c r="M160" i="4"/>
  <c r="J160" i="4"/>
  <c r="L160" i="4" s="1"/>
  <c r="I160" i="4"/>
  <c r="F160" i="4"/>
  <c r="H160" i="4" s="1"/>
  <c r="E160" i="4"/>
  <c r="D160" i="4"/>
  <c r="R159" i="4"/>
  <c r="N159" i="4"/>
  <c r="M159" i="4"/>
  <c r="I159" i="4"/>
  <c r="E159" i="4"/>
  <c r="D159" i="4"/>
  <c r="B159" i="4"/>
  <c r="S158" i="4"/>
  <c r="U158" i="4" s="1"/>
  <c r="R158" i="4"/>
  <c r="Q158" i="4"/>
  <c r="O158" i="4"/>
  <c r="N158" i="4"/>
  <c r="M158" i="4"/>
  <c r="L158" i="4"/>
  <c r="J158" i="4"/>
  <c r="I158" i="4"/>
  <c r="H158" i="4"/>
  <c r="F158" i="4"/>
  <c r="E158" i="4"/>
  <c r="D158" i="4"/>
  <c r="S157" i="4"/>
  <c r="U157" i="4" s="1"/>
  <c r="R157" i="4"/>
  <c r="O157" i="4"/>
  <c r="Q157" i="4" s="1"/>
  <c r="N157" i="4"/>
  <c r="M157" i="4"/>
  <c r="J157" i="4"/>
  <c r="L157" i="4" s="1"/>
  <c r="I157" i="4"/>
  <c r="F157" i="4"/>
  <c r="H157" i="4" s="1"/>
  <c r="E157" i="4"/>
  <c r="D157" i="4"/>
  <c r="S156" i="4"/>
  <c r="U156" i="4" s="1"/>
  <c r="R156" i="4"/>
  <c r="O156" i="4"/>
  <c r="Q156" i="4" s="1"/>
  <c r="N156" i="4"/>
  <c r="M156" i="4"/>
  <c r="J156" i="4"/>
  <c r="L156" i="4" s="1"/>
  <c r="I156" i="4"/>
  <c r="F156" i="4"/>
  <c r="H156" i="4" s="1"/>
  <c r="E156" i="4"/>
  <c r="D156" i="4"/>
  <c r="S155" i="4"/>
  <c r="U155" i="4" s="1"/>
  <c r="R155" i="4"/>
  <c r="Q155" i="4"/>
  <c r="O155" i="4"/>
  <c r="N155" i="4"/>
  <c r="M155" i="4"/>
  <c r="L155" i="4"/>
  <c r="J155" i="4"/>
  <c r="I155" i="4"/>
  <c r="H155" i="4"/>
  <c r="F155" i="4"/>
  <c r="E155" i="4"/>
  <c r="D155" i="4"/>
  <c r="S154" i="4"/>
  <c r="U154" i="4" s="1"/>
  <c r="R154" i="4"/>
  <c r="Q154" i="4"/>
  <c r="O154" i="4"/>
  <c r="N154" i="4"/>
  <c r="M154" i="4"/>
  <c r="J154" i="4"/>
  <c r="L154" i="4" s="1"/>
  <c r="I154" i="4"/>
  <c r="F154" i="4"/>
  <c r="H154" i="4" s="1"/>
  <c r="E154" i="4"/>
  <c r="D154" i="4"/>
  <c r="S153" i="4"/>
  <c r="U153" i="4" s="1"/>
  <c r="R153" i="4"/>
  <c r="O153" i="4"/>
  <c r="Q153" i="4" s="1"/>
  <c r="N153" i="4"/>
  <c r="M153" i="4"/>
  <c r="J153" i="4"/>
  <c r="L153" i="4" s="1"/>
  <c r="I153" i="4"/>
  <c r="F153" i="4"/>
  <c r="H153" i="4" s="1"/>
  <c r="E153" i="4"/>
  <c r="D153" i="4"/>
  <c r="S152" i="4"/>
  <c r="U152" i="4" s="1"/>
  <c r="R152" i="4"/>
  <c r="Q152" i="4"/>
  <c r="O152" i="4"/>
  <c r="N152" i="4"/>
  <c r="M152" i="4"/>
  <c r="J152" i="4"/>
  <c r="L152" i="4" s="1"/>
  <c r="I152" i="4"/>
  <c r="F152" i="4"/>
  <c r="H152" i="4" s="1"/>
  <c r="E152" i="4"/>
  <c r="D152" i="4"/>
  <c r="R151" i="4"/>
  <c r="N151" i="4"/>
  <c r="M151" i="4"/>
  <c r="S151" i="4" s="1"/>
  <c r="I151" i="4"/>
  <c r="J151" i="4" s="1"/>
  <c r="E151" i="4"/>
  <c r="D151" i="4"/>
  <c r="B151" i="4"/>
  <c r="S150" i="4"/>
  <c r="U150" i="4" s="1"/>
  <c r="R150" i="4"/>
  <c r="O150" i="4"/>
  <c r="Q150" i="4" s="1"/>
  <c r="N150" i="4"/>
  <c r="M150" i="4"/>
  <c r="J150" i="4"/>
  <c r="L150" i="4" s="1"/>
  <c r="I150" i="4"/>
  <c r="F150" i="4"/>
  <c r="H150" i="4" s="1"/>
  <c r="E150" i="4"/>
  <c r="D150" i="4"/>
  <c r="S149" i="4"/>
  <c r="U149" i="4" s="1"/>
  <c r="R149" i="4"/>
  <c r="O149" i="4"/>
  <c r="Q149" i="4" s="1"/>
  <c r="N149" i="4"/>
  <c r="M149" i="4"/>
  <c r="J149" i="4"/>
  <c r="L149" i="4" s="1"/>
  <c r="I149" i="4"/>
  <c r="F149" i="4"/>
  <c r="H149" i="4" s="1"/>
  <c r="E149" i="4"/>
  <c r="D149" i="4"/>
  <c r="S148" i="4"/>
  <c r="U148" i="4" s="1"/>
  <c r="R148" i="4"/>
  <c r="O148" i="4"/>
  <c r="Q148" i="4" s="1"/>
  <c r="N148" i="4"/>
  <c r="M148" i="4"/>
  <c r="J148" i="4"/>
  <c r="L148" i="4" s="1"/>
  <c r="I148" i="4"/>
  <c r="H148" i="4"/>
  <c r="F148" i="4"/>
  <c r="E148" i="4"/>
  <c r="D148" i="4"/>
  <c r="U147" i="4"/>
  <c r="S147" i="4"/>
  <c r="R147" i="4"/>
  <c r="Q147" i="4"/>
  <c r="O147" i="4"/>
  <c r="N147" i="4"/>
  <c r="M147" i="4"/>
  <c r="L147" i="4"/>
  <c r="J147" i="4"/>
  <c r="I147" i="4"/>
  <c r="H147" i="4"/>
  <c r="F147" i="4"/>
  <c r="E147" i="4"/>
  <c r="D147" i="4"/>
  <c r="R146" i="4"/>
  <c r="N146" i="4"/>
  <c r="M146" i="4"/>
  <c r="I146" i="4"/>
  <c r="E146" i="4"/>
  <c r="D146" i="4"/>
  <c r="B146" i="4"/>
  <c r="S145" i="4"/>
  <c r="U145" i="4" s="1"/>
  <c r="R145" i="4"/>
  <c r="Q145" i="4"/>
  <c r="O145" i="4"/>
  <c r="N145" i="4"/>
  <c r="M145" i="4"/>
  <c r="L145" i="4"/>
  <c r="J145" i="4"/>
  <c r="I145" i="4"/>
  <c r="H145" i="4"/>
  <c r="F145" i="4"/>
  <c r="E145" i="4"/>
  <c r="D145" i="4"/>
  <c r="U144" i="4"/>
  <c r="S144" i="4"/>
  <c r="R144" i="4"/>
  <c r="O144" i="4"/>
  <c r="Q144" i="4" s="1"/>
  <c r="N144" i="4"/>
  <c r="M144" i="4"/>
  <c r="J144" i="4"/>
  <c r="L144" i="4" s="1"/>
  <c r="I144" i="4"/>
  <c r="F144" i="4"/>
  <c r="H144" i="4" s="1"/>
  <c r="E144" i="4"/>
  <c r="D144" i="4"/>
  <c r="S143" i="4"/>
  <c r="U143" i="4" s="1"/>
  <c r="R143" i="4"/>
  <c r="O143" i="4"/>
  <c r="Q143" i="4" s="1"/>
  <c r="N143" i="4"/>
  <c r="M143" i="4"/>
  <c r="J143" i="4"/>
  <c r="L143" i="4" s="1"/>
  <c r="I143" i="4"/>
  <c r="F143" i="4"/>
  <c r="H143" i="4" s="1"/>
  <c r="E143" i="4"/>
  <c r="D143" i="4"/>
  <c r="S142" i="4"/>
  <c r="U142" i="4" s="1"/>
  <c r="R142" i="4"/>
  <c r="Q142" i="4"/>
  <c r="O142" i="4"/>
  <c r="N142" i="4"/>
  <c r="M142" i="4"/>
  <c r="J142" i="4"/>
  <c r="L142" i="4" s="1"/>
  <c r="I142" i="4"/>
  <c r="F142" i="4"/>
  <c r="H142" i="4" s="1"/>
  <c r="E142" i="4"/>
  <c r="D142" i="4"/>
  <c r="R141" i="4"/>
  <c r="N141" i="4"/>
  <c r="M141" i="4"/>
  <c r="I141" i="4"/>
  <c r="E141" i="4"/>
  <c r="D141" i="4"/>
  <c r="J141" i="4" s="1"/>
  <c r="B141" i="4"/>
  <c r="U140" i="4"/>
  <c r="S140" i="4"/>
  <c r="R140" i="4"/>
  <c r="O140" i="4"/>
  <c r="Q140" i="4" s="1"/>
  <c r="N140" i="4"/>
  <c r="M140" i="4"/>
  <c r="L140" i="4"/>
  <c r="J140" i="4"/>
  <c r="I140" i="4"/>
  <c r="F140" i="4"/>
  <c r="H140" i="4" s="1"/>
  <c r="E140" i="4"/>
  <c r="D140" i="4"/>
  <c r="S139" i="4"/>
  <c r="U139" i="4" s="1"/>
  <c r="R139" i="4"/>
  <c r="O139" i="4"/>
  <c r="Q139" i="4" s="1"/>
  <c r="N139" i="4"/>
  <c r="M139" i="4"/>
  <c r="J139" i="4"/>
  <c r="L139" i="4" s="1"/>
  <c r="I139" i="4"/>
  <c r="F139" i="4"/>
  <c r="H139" i="4" s="1"/>
  <c r="E139" i="4"/>
  <c r="D139" i="4"/>
  <c r="S138" i="4"/>
  <c r="U138" i="4" s="1"/>
  <c r="R138" i="4"/>
  <c r="Q138" i="4"/>
  <c r="O138" i="4"/>
  <c r="N138" i="4"/>
  <c r="M138" i="4"/>
  <c r="J138" i="4"/>
  <c r="L138" i="4" s="1"/>
  <c r="I138" i="4"/>
  <c r="H138" i="4"/>
  <c r="F138" i="4"/>
  <c r="E138" i="4"/>
  <c r="D138" i="4"/>
  <c r="S137" i="4"/>
  <c r="U137" i="4" s="1"/>
  <c r="R137" i="4"/>
  <c r="O137" i="4"/>
  <c r="Q137" i="4" s="1"/>
  <c r="N137" i="4"/>
  <c r="M137" i="4"/>
  <c r="J137" i="4"/>
  <c r="L137" i="4" s="1"/>
  <c r="I137" i="4"/>
  <c r="F137" i="4"/>
  <c r="H137" i="4" s="1"/>
  <c r="E137" i="4"/>
  <c r="D137" i="4"/>
  <c r="S136" i="4"/>
  <c r="U136" i="4" s="1"/>
  <c r="R136" i="4"/>
  <c r="O136" i="4"/>
  <c r="Q136" i="4" s="1"/>
  <c r="N136" i="4"/>
  <c r="M136" i="4"/>
  <c r="L136" i="4"/>
  <c r="J136" i="4"/>
  <c r="I136" i="4"/>
  <c r="F136" i="4"/>
  <c r="H136" i="4" s="1"/>
  <c r="E136" i="4"/>
  <c r="D136" i="4"/>
  <c r="S135" i="4"/>
  <c r="U135" i="4" s="1"/>
  <c r="R135" i="4"/>
  <c r="O135" i="4"/>
  <c r="Q135" i="4" s="1"/>
  <c r="N135" i="4"/>
  <c r="M135" i="4"/>
  <c r="J135" i="4"/>
  <c r="L135" i="4" s="1"/>
  <c r="I135" i="4"/>
  <c r="H135" i="4"/>
  <c r="F135" i="4"/>
  <c r="E135" i="4"/>
  <c r="D135" i="4"/>
  <c r="R134" i="4"/>
  <c r="N134" i="4"/>
  <c r="M134" i="4"/>
  <c r="S134" i="4" s="1"/>
  <c r="I134" i="4"/>
  <c r="E134" i="4"/>
  <c r="D134" i="4"/>
  <c r="B134" i="4"/>
  <c r="U133" i="4"/>
  <c r="S133" i="4"/>
  <c r="R133" i="4"/>
  <c r="O133" i="4"/>
  <c r="Q133" i="4" s="1"/>
  <c r="N133" i="4"/>
  <c r="M133" i="4"/>
  <c r="L133" i="4"/>
  <c r="J133" i="4"/>
  <c r="I133" i="4"/>
  <c r="F133" i="4"/>
  <c r="H133" i="4" s="1"/>
  <c r="E133" i="4"/>
  <c r="D133" i="4"/>
  <c r="S132" i="4"/>
  <c r="U132" i="4" s="1"/>
  <c r="R132" i="4"/>
  <c r="Q132" i="4"/>
  <c r="O132" i="4"/>
  <c r="N132" i="4"/>
  <c r="M132" i="4"/>
  <c r="J132" i="4"/>
  <c r="L132" i="4" s="1"/>
  <c r="I132" i="4"/>
  <c r="F132" i="4"/>
  <c r="H132" i="4" s="1"/>
  <c r="E132" i="4"/>
  <c r="D132" i="4"/>
  <c r="S131" i="4"/>
  <c r="U131" i="4" s="1"/>
  <c r="R131" i="4"/>
  <c r="O131" i="4"/>
  <c r="Q131" i="4" s="1"/>
  <c r="N131" i="4"/>
  <c r="M131" i="4"/>
  <c r="L131" i="4"/>
  <c r="J131" i="4"/>
  <c r="I131" i="4"/>
  <c r="F131" i="4"/>
  <c r="H131" i="4" s="1"/>
  <c r="E131" i="4"/>
  <c r="D131" i="4"/>
  <c r="S130" i="4"/>
  <c r="U130" i="4" s="1"/>
  <c r="R130" i="4"/>
  <c r="Q130" i="4"/>
  <c r="O130" i="4"/>
  <c r="N130" i="4"/>
  <c r="M130" i="4"/>
  <c r="J130" i="4"/>
  <c r="L130" i="4" s="1"/>
  <c r="I130" i="4"/>
  <c r="H130" i="4"/>
  <c r="F130" i="4"/>
  <c r="E130" i="4"/>
  <c r="D130" i="4"/>
  <c r="R129" i="4"/>
  <c r="N129" i="4"/>
  <c r="M129" i="4"/>
  <c r="I129" i="4"/>
  <c r="E129" i="4"/>
  <c r="D129" i="4"/>
  <c r="B129" i="4"/>
  <c r="S128" i="4"/>
  <c r="U128" i="4" s="1"/>
  <c r="R128" i="4"/>
  <c r="O128" i="4"/>
  <c r="Q128" i="4" s="1"/>
  <c r="N128" i="4"/>
  <c r="M128" i="4"/>
  <c r="J128" i="4"/>
  <c r="L128" i="4" s="1"/>
  <c r="I128" i="4"/>
  <c r="F128" i="4"/>
  <c r="H128" i="4" s="1"/>
  <c r="E128" i="4"/>
  <c r="D128" i="4"/>
  <c r="S127" i="4"/>
  <c r="U127" i="4" s="1"/>
  <c r="R127" i="4"/>
  <c r="O127" i="4"/>
  <c r="Q127" i="4" s="1"/>
  <c r="N127" i="4"/>
  <c r="M127" i="4"/>
  <c r="J127" i="4"/>
  <c r="L127" i="4" s="1"/>
  <c r="I127" i="4"/>
  <c r="F127" i="4"/>
  <c r="H127" i="4" s="1"/>
  <c r="E127" i="4"/>
  <c r="D127" i="4"/>
  <c r="S126" i="4"/>
  <c r="U126" i="4" s="1"/>
  <c r="R126" i="4"/>
  <c r="O126" i="4"/>
  <c r="Q126" i="4" s="1"/>
  <c r="N126" i="4"/>
  <c r="M126" i="4"/>
  <c r="J126" i="4"/>
  <c r="L126" i="4" s="1"/>
  <c r="I126" i="4"/>
  <c r="H126" i="4"/>
  <c r="F126" i="4"/>
  <c r="E126" i="4"/>
  <c r="D126" i="4"/>
  <c r="S125" i="4"/>
  <c r="U125" i="4" s="1"/>
  <c r="R125" i="4"/>
  <c r="Q125" i="4"/>
  <c r="O125" i="4"/>
  <c r="N125" i="4"/>
  <c r="M125" i="4"/>
  <c r="J125" i="4"/>
  <c r="L125" i="4" s="1"/>
  <c r="I125" i="4"/>
  <c r="H125" i="4"/>
  <c r="F125" i="4"/>
  <c r="E125" i="4"/>
  <c r="D125" i="4"/>
  <c r="R124" i="4"/>
  <c r="N124" i="4"/>
  <c r="M124" i="4"/>
  <c r="O124" i="4" s="1"/>
  <c r="Q124" i="4" s="1"/>
  <c r="I124" i="4"/>
  <c r="E124" i="4"/>
  <c r="D124" i="4"/>
  <c r="B124" i="4"/>
  <c r="S123" i="4"/>
  <c r="U123" i="4" s="1"/>
  <c r="R123" i="4"/>
  <c r="O123" i="4"/>
  <c r="Q123" i="4" s="1"/>
  <c r="N123" i="4"/>
  <c r="M123" i="4"/>
  <c r="J123" i="4"/>
  <c r="L123" i="4" s="1"/>
  <c r="I123" i="4"/>
  <c r="F123" i="4"/>
  <c r="H123" i="4" s="1"/>
  <c r="E123" i="4"/>
  <c r="D123" i="4"/>
  <c r="U122" i="4"/>
  <c r="S122" i="4"/>
  <c r="R122" i="4"/>
  <c r="Q122" i="4"/>
  <c r="O122" i="4"/>
  <c r="N122" i="4"/>
  <c r="M122" i="4"/>
  <c r="L122" i="4"/>
  <c r="J122" i="4"/>
  <c r="I122" i="4"/>
  <c r="H122" i="4"/>
  <c r="F122" i="4"/>
  <c r="E122" i="4"/>
  <c r="D122" i="4"/>
  <c r="S121" i="4"/>
  <c r="U121" i="4" s="1"/>
  <c r="R121" i="4"/>
  <c r="Q121" i="4"/>
  <c r="O121" i="4"/>
  <c r="N121" i="4"/>
  <c r="M121" i="4"/>
  <c r="J121" i="4"/>
  <c r="L121" i="4" s="1"/>
  <c r="I121" i="4"/>
  <c r="H121" i="4"/>
  <c r="F121" i="4"/>
  <c r="E121" i="4"/>
  <c r="D121" i="4"/>
  <c r="U120" i="4"/>
  <c r="S120" i="4"/>
  <c r="R120" i="4"/>
  <c r="Q120" i="4"/>
  <c r="O120" i="4"/>
  <c r="N120" i="4"/>
  <c r="M120" i="4"/>
  <c r="L120" i="4"/>
  <c r="J120" i="4"/>
  <c r="I120" i="4"/>
  <c r="H120" i="4"/>
  <c r="F120" i="4"/>
  <c r="E120" i="4"/>
  <c r="D120" i="4"/>
  <c r="S119" i="4"/>
  <c r="U119" i="4" s="1"/>
  <c r="R119" i="4"/>
  <c r="Q119" i="4"/>
  <c r="O119" i="4"/>
  <c r="N119" i="4"/>
  <c r="M119" i="4"/>
  <c r="J119" i="4"/>
  <c r="L119" i="4" s="1"/>
  <c r="I119" i="4"/>
  <c r="F119" i="4"/>
  <c r="H119" i="4" s="1"/>
  <c r="E119" i="4"/>
  <c r="D119" i="4"/>
  <c r="R118" i="4"/>
  <c r="N118" i="4"/>
  <c r="O118" i="4" s="1"/>
  <c r="M118" i="4"/>
  <c r="I118" i="4"/>
  <c r="E118" i="4"/>
  <c r="D118" i="4"/>
  <c r="B118" i="4"/>
  <c r="U117" i="4"/>
  <c r="S117" i="4"/>
  <c r="R117" i="4"/>
  <c r="O117" i="4"/>
  <c r="Q117" i="4" s="1"/>
  <c r="N117" i="4"/>
  <c r="M117" i="4"/>
  <c r="J117" i="4"/>
  <c r="L117" i="4" s="1"/>
  <c r="I117" i="4"/>
  <c r="F117" i="4"/>
  <c r="H117" i="4" s="1"/>
  <c r="E117" i="4"/>
  <c r="D117" i="4"/>
  <c r="U116" i="4"/>
  <c r="S116" i="4"/>
  <c r="R116" i="4"/>
  <c r="Q116" i="4"/>
  <c r="O116" i="4"/>
  <c r="N116" i="4"/>
  <c r="M116" i="4"/>
  <c r="J116" i="4"/>
  <c r="L116" i="4" s="1"/>
  <c r="I116" i="4"/>
  <c r="H116" i="4"/>
  <c r="F116" i="4"/>
  <c r="E116" i="4"/>
  <c r="D116" i="4"/>
  <c r="S115" i="4"/>
  <c r="U115" i="4" s="1"/>
  <c r="R115" i="4"/>
  <c r="O115" i="4"/>
  <c r="Q115" i="4" s="1"/>
  <c r="N115" i="4"/>
  <c r="M115" i="4"/>
  <c r="J115" i="4"/>
  <c r="L115" i="4" s="1"/>
  <c r="I115" i="4"/>
  <c r="H115" i="4"/>
  <c r="F115" i="4"/>
  <c r="E115" i="4"/>
  <c r="D115" i="4"/>
  <c r="S114" i="4"/>
  <c r="U114" i="4" s="1"/>
  <c r="R114" i="4"/>
  <c r="O114" i="4"/>
  <c r="Q114" i="4" s="1"/>
  <c r="N114" i="4"/>
  <c r="M114" i="4"/>
  <c r="J114" i="4"/>
  <c r="L114" i="4" s="1"/>
  <c r="I114" i="4"/>
  <c r="F114" i="4"/>
  <c r="H114" i="4" s="1"/>
  <c r="E114" i="4"/>
  <c r="D114" i="4"/>
  <c r="R113" i="4"/>
  <c r="N113" i="4"/>
  <c r="M113" i="4"/>
  <c r="I113" i="4"/>
  <c r="E113" i="4"/>
  <c r="B113" i="4"/>
  <c r="U112" i="4"/>
  <c r="S112" i="4"/>
  <c r="R112" i="4"/>
  <c r="O112" i="4"/>
  <c r="Q112" i="4" s="1"/>
  <c r="N112" i="4"/>
  <c r="M112" i="4"/>
  <c r="J112" i="4"/>
  <c r="L112" i="4" s="1"/>
  <c r="I112" i="4"/>
  <c r="E112" i="4"/>
  <c r="D112" i="4"/>
  <c r="F112" i="4" s="1"/>
  <c r="H112" i="4" s="1"/>
  <c r="R110" i="4"/>
  <c r="N110" i="4"/>
  <c r="M110" i="4"/>
  <c r="I110" i="4"/>
  <c r="L110" i="4" s="1"/>
  <c r="E110" i="4"/>
  <c r="D110" i="4"/>
  <c r="B110" i="4"/>
  <c r="U109" i="4"/>
  <c r="S109" i="4"/>
  <c r="R109" i="4"/>
  <c r="Q109" i="4"/>
  <c r="O109" i="4"/>
  <c r="N109" i="4"/>
  <c r="M109" i="4"/>
  <c r="L109" i="4"/>
  <c r="J109" i="4"/>
  <c r="I109" i="4"/>
  <c r="H109" i="4"/>
  <c r="F109" i="4"/>
  <c r="E109" i="4"/>
  <c r="D109" i="4"/>
  <c r="U108" i="4"/>
  <c r="S108" i="4"/>
  <c r="R108" i="4"/>
  <c r="Q108" i="4"/>
  <c r="O108" i="4"/>
  <c r="N108" i="4"/>
  <c r="M108" i="4"/>
  <c r="L108" i="4"/>
  <c r="J108" i="4"/>
  <c r="I108" i="4"/>
  <c r="H108" i="4"/>
  <c r="F108" i="4"/>
  <c r="E108" i="4"/>
  <c r="D108" i="4"/>
  <c r="U107" i="4"/>
  <c r="S107" i="4"/>
  <c r="R107" i="4"/>
  <c r="Q107" i="4"/>
  <c r="O107" i="4"/>
  <c r="N107" i="4"/>
  <c r="M107" i="4"/>
  <c r="L107" i="4"/>
  <c r="J107" i="4"/>
  <c r="I107" i="4"/>
  <c r="H107" i="4"/>
  <c r="F107" i="4"/>
  <c r="E107" i="4"/>
  <c r="D107" i="4"/>
  <c r="U106" i="4"/>
  <c r="S106" i="4"/>
  <c r="R106" i="4"/>
  <c r="Q106" i="4"/>
  <c r="O106" i="4"/>
  <c r="N106" i="4"/>
  <c r="M106" i="4"/>
  <c r="L106" i="4"/>
  <c r="J106" i="4"/>
  <c r="I106" i="4"/>
  <c r="H106" i="4"/>
  <c r="F106" i="4"/>
  <c r="E106" i="4"/>
  <c r="D106" i="4"/>
  <c r="U105" i="4"/>
  <c r="S105" i="4"/>
  <c r="R105" i="4"/>
  <c r="Q105" i="4"/>
  <c r="O105" i="4"/>
  <c r="N105" i="4"/>
  <c r="M105" i="4"/>
  <c r="L105" i="4"/>
  <c r="J105" i="4"/>
  <c r="I105" i="4"/>
  <c r="H105" i="4"/>
  <c r="F105" i="4"/>
  <c r="E105" i="4"/>
  <c r="D105" i="4"/>
  <c r="U104" i="4"/>
  <c r="S104" i="4"/>
  <c r="R104" i="4"/>
  <c r="O104" i="4"/>
  <c r="Q104" i="4" s="1"/>
  <c r="N104" i="4"/>
  <c r="M104" i="4"/>
  <c r="L104" i="4"/>
  <c r="J104" i="4"/>
  <c r="I104" i="4"/>
  <c r="F104" i="4"/>
  <c r="H104" i="4" s="1"/>
  <c r="E104" i="4"/>
  <c r="D104" i="4"/>
  <c r="R103" i="4"/>
  <c r="N103" i="4"/>
  <c r="M103" i="4"/>
  <c r="S103" i="4" s="1"/>
  <c r="I103" i="4"/>
  <c r="E103" i="4"/>
  <c r="D103" i="4"/>
  <c r="B103" i="4"/>
  <c r="U102" i="4"/>
  <c r="S102" i="4"/>
  <c r="R102" i="4"/>
  <c r="Q102" i="4"/>
  <c r="O102" i="4"/>
  <c r="N102" i="4"/>
  <c r="M102" i="4"/>
  <c r="L102" i="4"/>
  <c r="J102" i="4"/>
  <c r="I102" i="4"/>
  <c r="H102" i="4"/>
  <c r="F102" i="4"/>
  <c r="E102" i="4"/>
  <c r="D102" i="4"/>
  <c r="S101" i="4"/>
  <c r="U101" i="4" s="1"/>
  <c r="R101" i="4"/>
  <c r="O101" i="4"/>
  <c r="Q101" i="4" s="1"/>
  <c r="N101" i="4"/>
  <c r="M101" i="4"/>
  <c r="J101" i="4"/>
  <c r="L101" i="4" s="1"/>
  <c r="I101" i="4"/>
  <c r="F101" i="4"/>
  <c r="H101" i="4" s="1"/>
  <c r="E101" i="4"/>
  <c r="D101" i="4"/>
  <c r="S100" i="4"/>
  <c r="U100" i="4" s="1"/>
  <c r="R100" i="4"/>
  <c r="O100" i="4"/>
  <c r="Q100" i="4" s="1"/>
  <c r="N100" i="4"/>
  <c r="M100" i="4"/>
  <c r="J100" i="4"/>
  <c r="L100" i="4" s="1"/>
  <c r="I100" i="4"/>
  <c r="F100" i="4"/>
  <c r="H100" i="4" s="1"/>
  <c r="E100" i="4"/>
  <c r="D100" i="4"/>
  <c r="U99" i="4"/>
  <c r="S99" i="4"/>
  <c r="R99" i="4"/>
  <c r="Q99" i="4"/>
  <c r="O99" i="4"/>
  <c r="N99" i="4"/>
  <c r="M99" i="4"/>
  <c r="J99" i="4"/>
  <c r="L99" i="4" s="1"/>
  <c r="I99" i="4"/>
  <c r="H99" i="4"/>
  <c r="F99" i="4"/>
  <c r="E99" i="4"/>
  <c r="D99" i="4"/>
  <c r="S98" i="4"/>
  <c r="U98" i="4" s="1"/>
  <c r="R98" i="4"/>
  <c r="Q98" i="4"/>
  <c r="O98" i="4"/>
  <c r="N98" i="4"/>
  <c r="M98" i="4"/>
  <c r="J98" i="4"/>
  <c r="L98" i="4" s="1"/>
  <c r="I98" i="4"/>
  <c r="H98" i="4"/>
  <c r="F98" i="4"/>
  <c r="E98" i="4"/>
  <c r="D98" i="4"/>
  <c r="S97" i="4"/>
  <c r="U97" i="4" s="1"/>
  <c r="R97" i="4"/>
  <c r="O97" i="4"/>
  <c r="Q97" i="4" s="1"/>
  <c r="N97" i="4"/>
  <c r="M97" i="4"/>
  <c r="J97" i="4"/>
  <c r="L97" i="4" s="1"/>
  <c r="I97" i="4"/>
  <c r="H97" i="4"/>
  <c r="F97" i="4"/>
  <c r="E97" i="4"/>
  <c r="D97" i="4"/>
  <c r="S96" i="4"/>
  <c r="U96" i="4" s="1"/>
  <c r="R96" i="4"/>
  <c r="Q96" i="4"/>
  <c r="O96" i="4"/>
  <c r="N96" i="4"/>
  <c r="M96" i="4"/>
  <c r="J96" i="4"/>
  <c r="L96" i="4" s="1"/>
  <c r="I96" i="4"/>
  <c r="H96" i="4"/>
  <c r="F96" i="4"/>
  <c r="E96" i="4"/>
  <c r="D96" i="4"/>
  <c r="S95" i="4"/>
  <c r="U95" i="4" s="1"/>
  <c r="R95" i="4"/>
  <c r="Q95" i="4"/>
  <c r="O95" i="4"/>
  <c r="N95" i="4"/>
  <c r="M95" i="4"/>
  <c r="J95" i="4"/>
  <c r="L95" i="4" s="1"/>
  <c r="I95" i="4"/>
  <c r="H95" i="4"/>
  <c r="F95" i="4"/>
  <c r="E95" i="4"/>
  <c r="D95" i="4"/>
  <c r="U94" i="4"/>
  <c r="S94" i="4"/>
  <c r="R94" i="4"/>
  <c r="Q94" i="4"/>
  <c r="O94" i="4"/>
  <c r="N94" i="4"/>
  <c r="M94" i="4"/>
  <c r="J94" i="4"/>
  <c r="L94" i="4" s="1"/>
  <c r="I94" i="4"/>
  <c r="H94" i="4"/>
  <c r="F94" i="4"/>
  <c r="E94" i="4"/>
  <c r="D94" i="4"/>
  <c r="S93" i="4"/>
  <c r="U93" i="4" s="1"/>
  <c r="R93" i="4"/>
  <c r="Q93" i="4"/>
  <c r="O93" i="4"/>
  <c r="N93" i="4"/>
  <c r="M93" i="4"/>
  <c r="J93" i="4"/>
  <c r="L93" i="4" s="1"/>
  <c r="I93" i="4"/>
  <c r="H93" i="4"/>
  <c r="F93" i="4"/>
  <c r="E93" i="4"/>
  <c r="D93" i="4"/>
  <c r="R92" i="4"/>
  <c r="Q92" i="4"/>
  <c r="N92" i="4"/>
  <c r="M92" i="4"/>
  <c r="O92" i="4" s="1"/>
  <c r="I92" i="4"/>
  <c r="E92" i="4"/>
  <c r="H92" i="4" s="1"/>
  <c r="D92" i="4"/>
  <c r="J92" i="4" s="1"/>
  <c r="L92" i="4" s="1"/>
  <c r="B92" i="4"/>
  <c r="U91" i="4"/>
  <c r="S91" i="4"/>
  <c r="R91" i="4"/>
  <c r="Q91" i="4"/>
  <c r="O91" i="4"/>
  <c r="N91" i="4"/>
  <c r="M91" i="4"/>
  <c r="J91" i="4"/>
  <c r="L91" i="4" s="1"/>
  <c r="I91" i="4"/>
  <c r="H91" i="4"/>
  <c r="F91" i="4"/>
  <c r="E91" i="4"/>
  <c r="D91" i="4"/>
  <c r="S90" i="4"/>
  <c r="U90" i="4" s="1"/>
  <c r="R90" i="4"/>
  <c r="Q90" i="4"/>
  <c r="O90" i="4"/>
  <c r="N90" i="4"/>
  <c r="M90" i="4"/>
  <c r="L90" i="4"/>
  <c r="J90" i="4"/>
  <c r="I90" i="4"/>
  <c r="H90" i="4"/>
  <c r="F90" i="4"/>
  <c r="E90" i="4"/>
  <c r="D90" i="4"/>
  <c r="R89" i="4"/>
  <c r="N89" i="4"/>
  <c r="M89" i="4"/>
  <c r="O89" i="4" s="1"/>
  <c r="Q89" i="4" s="1"/>
  <c r="I89" i="4"/>
  <c r="J89" i="4" s="1"/>
  <c r="E89" i="4"/>
  <c r="D89" i="4"/>
  <c r="B89" i="4"/>
  <c r="S88" i="4"/>
  <c r="U88" i="4" s="1"/>
  <c r="R88" i="4"/>
  <c r="O88" i="4"/>
  <c r="Q88" i="4" s="1"/>
  <c r="N88" i="4"/>
  <c r="M88" i="4"/>
  <c r="J88" i="4"/>
  <c r="L88" i="4" s="1"/>
  <c r="I88" i="4"/>
  <c r="F88" i="4"/>
  <c r="H88" i="4" s="1"/>
  <c r="E88" i="4"/>
  <c r="D88" i="4"/>
  <c r="U87" i="4"/>
  <c r="S87" i="4"/>
  <c r="R87" i="4"/>
  <c r="O87" i="4"/>
  <c r="Q87" i="4" s="1"/>
  <c r="N87" i="4"/>
  <c r="M87" i="4"/>
  <c r="J87" i="4"/>
  <c r="L87" i="4" s="1"/>
  <c r="I87" i="4"/>
  <c r="F87" i="4"/>
  <c r="H87" i="4" s="1"/>
  <c r="E87" i="4"/>
  <c r="D87" i="4"/>
  <c r="R86" i="4"/>
  <c r="N86" i="4"/>
  <c r="M86" i="4"/>
  <c r="I86" i="4"/>
  <c r="E86" i="4"/>
  <c r="D86" i="4"/>
  <c r="B86" i="4"/>
  <c r="S85" i="4"/>
  <c r="U85" i="4" s="1"/>
  <c r="R85" i="4"/>
  <c r="Q85" i="4"/>
  <c r="O85" i="4"/>
  <c r="N85" i="4"/>
  <c r="M85" i="4"/>
  <c r="J85" i="4"/>
  <c r="L85" i="4" s="1"/>
  <c r="I85" i="4"/>
  <c r="H85" i="4"/>
  <c r="F85" i="4"/>
  <c r="E85" i="4"/>
  <c r="D85" i="4"/>
  <c r="S84" i="4"/>
  <c r="U84" i="4" s="1"/>
  <c r="R84" i="4"/>
  <c r="O84" i="4"/>
  <c r="Q84" i="4" s="1"/>
  <c r="N84" i="4"/>
  <c r="M84" i="4"/>
  <c r="J84" i="4"/>
  <c r="L84" i="4" s="1"/>
  <c r="I84" i="4"/>
  <c r="F84" i="4"/>
  <c r="H84" i="4" s="1"/>
  <c r="E84" i="4"/>
  <c r="D84" i="4"/>
  <c r="S83" i="4"/>
  <c r="U83" i="4" s="1"/>
  <c r="R83" i="4"/>
  <c r="O83" i="4"/>
  <c r="Q83" i="4" s="1"/>
  <c r="N83" i="4"/>
  <c r="M83" i="4"/>
  <c r="L83" i="4"/>
  <c r="J83" i="4"/>
  <c r="I83" i="4"/>
  <c r="F83" i="4"/>
  <c r="H83" i="4" s="1"/>
  <c r="E83" i="4"/>
  <c r="D83" i="4"/>
  <c r="R82" i="4"/>
  <c r="U82" i="4" s="1"/>
  <c r="N82" i="4"/>
  <c r="Q82" i="4" s="1"/>
  <c r="M82" i="4"/>
  <c r="S82" i="4" s="1"/>
  <c r="I82" i="4"/>
  <c r="L82" i="4" s="1"/>
  <c r="E82" i="4"/>
  <c r="H82" i="4" s="1"/>
  <c r="D82" i="4"/>
  <c r="B82" i="4"/>
  <c r="U81" i="4"/>
  <c r="S81" i="4"/>
  <c r="R81" i="4"/>
  <c r="O81" i="4"/>
  <c r="Q81" i="4" s="1"/>
  <c r="N81" i="4"/>
  <c r="M81" i="4"/>
  <c r="J81" i="4"/>
  <c r="L81" i="4" s="1"/>
  <c r="I81" i="4"/>
  <c r="H81" i="4"/>
  <c r="F81" i="4"/>
  <c r="E81" i="4"/>
  <c r="D81" i="4"/>
  <c r="S80" i="4"/>
  <c r="U80" i="4" s="1"/>
  <c r="R80" i="4"/>
  <c r="O80" i="4"/>
  <c r="Q80" i="4" s="1"/>
  <c r="N80" i="4"/>
  <c r="M80" i="4"/>
  <c r="J80" i="4"/>
  <c r="L80" i="4" s="1"/>
  <c r="I80" i="4"/>
  <c r="F80" i="4"/>
  <c r="H80" i="4" s="1"/>
  <c r="E80" i="4"/>
  <c r="D80" i="4"/>
  <c r="S79" i="4"/>
  <c r="U79" i="4" s="1"/>
  <c r="R79" i="4"/>
  <c r="O79" i="4"/>
  <c r="Q79" i="4" s="1"/>
  <c r="N79" i="4"/>
  <c r="M79" i="4"/>
  <c r="J79" i="4"/>
  <c r="L79" i="4" s="1"/>
  <c r="I79" i="4"/>
  <c r="F79" i="4"/>
  <c r="H79" i="4" s="1"/>
  <c r="E79" i="4"/>
  <c r="D79" i="4"/>
  <c r="U78" i="4"/>
  <c r="S78" i="4"/>
  <c r="R78" i="4"/>
  <c r="Q78" i="4"/>
  <c r="O78" i="4"/>
  <c r="N78" i="4"/>
  <c r="M78" i="4"/>
  <c r="L78" i="4"/>
  <c r="J78" i="4"/>
  <c r="I78" i="4"/>
  <c r="H78" i="4"/>
  <c r="F78" i="4"/>
  <c r="E78" i="4"/>
  <c r="D78" i="4"/>
  <c r="U77" i="4"/>
  <c r="S77" i="4"/>
  <c r="R77" i="4"/>
  <c r="Q77" i="4"/>
  <c r="O77" i="4"/>
  <c r="N77" i="4"/>
  <c r="M77" i="4"/>
  <c r="L77" i="4"/>
  <c r="J77" i="4"/>
  <c r="I77" i="4"/>
  <c r="H77" i="4"/>
  <c r="F77" i="4"/>
  <c r="E77" i="4"/>
  <c r="D77" i="4"/>
  <c r="S76" i="4"/>
  <c r="U76" i="4" s="1"/>
  <c r="R76" i="4"/>
  <c r="O76" i="4"/>
  <c r="Q76" i="4" s="1"/>
  <c r="N76" i="4"/>
  <c r="M76" i="4"/>
  <c r="J76" i="4"/>
  <c r="L76" i="4" s="1"/>
  <c r="I76" i="4"/>
  <c r="F76" i="4"/>
  <c r="H76" i="4" s="1"/>
  <c r="E76" i="4"/>
  <c r="D76" i="4"/>
  <c r="S75" i="4"/>
  <c r="U75" i="4" s="1"/>
  <c r="R75" i="4"/>
  <c r="O75" i="4"/>
  <c r="Q75" i="4" s="1"/>
  <c r="N75" i="4"/>
  <c r="M75" i="4"/>
  <c r="J75" i="4"/>
  <c r="L75" i="4" s="1"/>
  <c r="I75" i="4"/>
  <c r="H75" i="4"/>
  <c r="F75" i="4"/>
  <c r="E75" i="4"/>
  <c r="D75" i="4"/>
  <c r="S74" i="4"/>
  <c r="U74" i="4" s="1"/>
  <c r="R74" i="4"/>
  <c r="O74" i="4"/>
  <c r="Q74" i="4" s="1"/>
  <c r="N74" i="4"/>
  <c r="M74" i="4"/>
  <c r="J74" i="4"/>
  <c r="L74" i="4" s="1"/>
  <c r="I74" i="4"/>
  <c r="F74" i="4"/>
  <c r="H74" i="4" s="1"/>
  <c r="E74" i="4"/>
  <c r="D74" i="4"/>
  <c r="S73" i="4"/>
  <c r="U73" i="4" s="1"/>
  <c r="R73" i="4"/>
  <c r="O73" i="4"/>
  <c r="Q73" i="4" s="1"/>
  <c r="N73" i="4"/>
  <c r="M73" i="4"/>
  <c r="J73" i="4"/>
  <c r="L73" i="4" s="1"/>
  <c r="I73" i="4"/>
  <c r="F73" i="4"/>
  <c r="H73" i="4" s="1"/>
  <c r="E73" i="4"/>
  <c r="D73" i="4"/>
  <c r="S72" i="4"/>
  <c r="U72" i="4" s="1"/>
  <c r="R72" i="4"/>
  <c r="Q72" i="4"/>
  <c r="O72" i="4"/>
  <c r="N72" i="4"/>
  <c r="M72" i="4"/>
  <c r="J72" i="4"/>
  <c r="L72" i="4" s="1"/>
  <c r="I72" i="4"/>
  <c r="F72" i="4"/>
  <c r="H72" i="4" s="1"/>
  <c r="E72" i="4"/>
  <c r="D72" i="4"/>
  <c r="U71" i="4"/>
  <c r="S71" i="4"/>
  <c r="R71" i="4"/>
  <c r="Q71" i="4"/>
  <c r="O71" i="4"/>
  <c r="N71" i="4"/>
  <c r="M71" i="4"/>
  <c r="L71" i="4"/>
  <c r="J71" i="4"/>
  <c r="I71" i="4"/>
  <c r="H71" i="4"/>
  <c r="F71" i="4"/>
  <c r="E71" i="4"/>
  <c r="D71" i="4"/>
  <c r="S70" i="4"/>
  <c r="U70" i="4" s="1"/>
  <c r="R70" i="4"/>
  <c r="O70" i="4"/>
  <c r="Q70" i="4" s="1"/>
  <c r="N70" i="4"/>
  <c r="M70" i="4"/>
  <c r="L70" i="4"/>
  <c r="J70" i="4"/>
  <c r="I70" i="4"/>
  <c r="F70" i="4"/>
  <c r="H70" i="4" s="1"/>
  <c r="E70" i="4"/>
  <c r="D70" i="4"/>
  <c r="R69" i="4"/>
  <c r="N69" i="4"/>
  <c r="M69" i="4"/>
  <c r="S69" i="4" s="1"/>
  <c r="I69" i="4"/>
  <c r="E69" i="4"/>
  <c r="D69" i="4"/>
  <c r="B69" i="4"/>
  <c r="S68" i="4"/>
  <c r="U68" i="4" s="1"/>
  <c r="R68" i="4"/>
  <c r="Q68" i="4"/>
  <c r="O68" i="4"/>
  <c r="N68" i="4"/>
  <c r="M68" i="4"/>
  <c r="J68" i="4"/>
  <c r="L68" i="4" s="1"/>
  <c r="I68" i="4"/>
  <c r="H68" i="4"/>
  <c r="F68" i="4"/>
  <c r="E68" i="4"/>
  <c r="D68" i="4"/>
  <c r="S67" i="4"/>
  <c r="U67" i="4" s="1"/>
  <c r="R67" i="4"/>
  <c r="Q67" i="4"/>
  <c r="O67" i="4"/>
  <c r="N67" i="4"/>
  <c r="M67" i="4"/>
  <c r="J67" i="4"/>
  <c r="L67" i="4" s="1"/>
  <c r="I67" i="4"/>
  <c r="H67" i="4"/>
  <c r="F67" i="4"/>
  <c r="E67" i="4"/>
  <c r="D67" i="4"/>
  <c r="U66" i="4"/>
  <c r="S66" i="4"/>
  <c r="R66" i="4"/>
  <c r="Q66" i="4"/>
  <c r="O66" i="4"/>
  <c r="N66" i="4"/>
  <c r="M66" i="4"/>
  <c r="L66" i="4"/>
  <c r="J66" i="4"/>
  <c r="I66" i="4"/>
  <c r="H66" i="4"/>
  <c r="F66" i="4"/>
  <c r="E66" i="4"/>
  <c r="D66" i="4"/>
  <c r="S65" i="4"/>
  <c r="U65" i="4" s="1"/>
  <c r="R65" i="4"/>
  <c r="Q65" i="4"/>
  <c r="O65" i="4"/>
  <c r="N65" i="4"/>
  <c r="M65" i="4"/>
  <c r="J65" i="4"/>
  <c r="L65" i="4" s="1"/>
  <c r="I65" i="4"/>
  <c r="H65" i="4"/>
  <c r="F65" i="4"/>
  <c r="E65" i="4"/>
  <c r="D65" i="4"/>
  <c r="U64" i="4"/>
  <c r="S64" i="4"/>
  <c r="R64" i="4"/>
  <c r="Q64" i="4"/>
  <c r="O64" i="4"/>
  <c r="N64" i="4"/>
  <c r="M64" i="4"/>
  <c r="L64" i="4"/>
  <c r="J64" i="4"/>
  <c r="I64" i="4"/>
  <c r="H64" i="4"/>
  <c r="F64" i="4"/>
  <c r="E64" i="4"/>
  <c r="D64" i="4"/>
  <c r="S63" i="4"/>
  <c r="U63" i="4" s="1"/>
  <c r="R63" i="4"/>
  <c r="O63" i="4"/>
  <c r="Q63" i="4" s="1"/>
  <c r="N63" i="4"/>
  <c r="M63" i="4"/>
  <c r="J63" i="4"/>
  <c r="L63" i="4" s="1"/>
  <c r="I63" i="4"/>
  <c r="F63" i="4"/>
  <c r="H63" i="4" s="1"/>
  <c r="E63" i="4"/>
  <c r="D63" i="4"/>
  <c r="S62" i="4"/>
  <c r="U62" i="4" s="1"/>
  <c r="R62" i="4"/>
  <c r="O62" i="4"/>
  <c r="Q62" i="4" s="1"/>
  <c r="N62" i="4"/>
  <c r="M62" i="4"/>
  <c r="L62" i="4"/>
  <c r="J62" i="4"/>
  <c r="I62" i="4"/>
  <c r="F62" i="4"/>
  <c r="H62" i="4" s="1"/>
  <c r="E62" i="4"/>
  <c r="D62" i="4"/>
  <c r="S61" i="4"/>
  <c r="U61" i="4" s="1"/>
  <c r="R61" i="4"/>
  <c r="Q61" i="4"/>
  <c r="O61" i="4"/>
  <c r="N61" i="4"/>
  <c r="M61" i="4"/>
  <c r="J61" i="4"/>
  <c r="L61" i="4" s="1"/>
  <c r="I61" i="4"/>
  <c r="H61" i="4"/>
  <c r="F61" i="4"/>
  <c r="E61" i="4"/>
  <c r="D61" i="4"/>
  <c r="S60" i="4"/>
  <c r="U60" i="4" s="1"/>
  <c r="R60" i="4"/>
  <c r="Q60" i="4"/>
  <c r="O60" i="4"/>
  <c r="N60" i="4"/>
  <c r="M60" i="4"/>
  <c r="J60" i="4"/>
  <c r="L60" i="4" s="1"/>
  <c r="I60" i="4"/>
  <c r="H60" i="4"/>
  <c r="F60" i="4"/>
  <c r="E60" i="4"/>
  <c r="D60" i="4"/>
  <c r="U59" i="4"/>
  <c r="S59" i="4"/>
  <c r="R59" i="4"/>
  <c r="Q59" i="4"/>
  <c r="O59" i="4"/>
  <c r="N59" i="4"/>
  <c r="M59" i="4"/>
  <c r="L59" i="4"/>
  <c r="J59" i="4"/>
  <c r="I59" i="4"/>
  <c r="H59" i="4"/>
  <c r="F59" i="4"/>
  <c r="E59" i="4"/>
  <c r="D59" i="4"/>
  <c r="U58" i="4"/>
  <c r="S58" i="4"/>
  <c r="R58" i="4"/>
  <c r="Q58" i="4"/>
  <c r="O58" i="4"/>
  <c r="N58" i="4"/>
  <c r="M58" i="4"/>
  <c r="L58" i="4"/>
  <c r="J58" i="4"/>
  <c r="I58" i="4"/>
  <c r="F58" i="4"/>
  <c r="H58" i="4" s="1"/>
  <c r="E58" i="4"/>
  <c r="D58" i="4"/>
  <c r="S57" i="4"/>
  <c r="U57" i="4" s="1"/>
  <c r="R57" i="4"/>
  <c r="O57" i="4"/>
  <c r="Q57" i="4" s="1"/>
  <c r="N57" i="4"/>
  <c r="M57" i="4"/>
  <c r="J57" i="4"/>
  <c r="L57" i="4" s="1"/>
  <c r="I57" i="4"/>
  <c r="H57" i="4"/>
  <c r="F57" i="4"/>
  <c r="E57" i="4"/>
  <c r="D57" i="4"/>
  <c r="S56" i="4"/>
  <c r="U56" i="4" s="1"/>
  <c r="R56" i="4"/>
  <c r="Q56" i="4"/>
  <c r="O56" i="4"/>
  <c r="N56" i="4"/>
  <c r="M56" i="4"/>
  <c r="J56" i="4"/>
  <c r="L56" i="4" s="1"/>
  <c r="I56" i="4"/>
  <c r="H56" i="4"/>
  <c r="F56" i="4"/>
  <c r="E56" i="4"/>
  <c r="D56" i="4"/>
  <c r="S55" i="4"/>
  <c r="U55" i="4" s="1"/>
  <c r="R55" i="4"/>
  <c r="O55" i="4"/>
  <c r="Q55" i="4" s="1"/>
  <c r="N55" i="4"/>
  <c r="M55" i="4"/>
  <c r="J55" i="4"/>
  <c r="L55" i="4" s="1"/>
  <c r="I55" i="4"/>
  <c r="F55" i="4"/>
  <c r="H55" i="4" s="1"/>
  <c r="E55" i="4"/>
  <c r="D55" i="4"/>
  <c r="M54" i="4"/>
  <c r="I54" i="4"/>
  <c r="E54" i="4"/>
  <c r="F50" i="10" s="1"/>
  <c r="R53" i="4"/>
  <c r="R54" i="4" s="1"/>
  <c r="N53" i="4"/>
  <c r="M53" i="4"/>
  <c r="I53" i="4"/>
  <c r="E53" i="4"/>
  <c r="B53" i="4"/>
  <c r="U52" i="4"/>
  <c r="S52" i="4"/>
  <c r="R52" i="4"/>
  <c r="O52" i="4"/>
  <c r="Q52" i="4" s="1"/>
  <c r="N52" i="4"/>
  <c r="M52" i="4"/>
  <c r="L52" i="4"/>
  <c r="J52" i="4"/>
  <c r="I52" i="4"/>
  <c r="H52" i="4"/>
  <c r="F52" i="4"/>
  <c r="E52" i="4"/>
  <c r="D52" i="4"/>
  <c r="U51" i="4"/>
  <c r="S51" i="4"/>
  <c r="R51" i="4"/>
  <c r="O51" i="4"/>
  <c r="Q51" i="4" s="1"/>
  <c r="N51" i="4"/>
  <c r="M51" i="4"/>
  <c r="L51" i="4"/>
  <c r="J51" i="4"/>
  <c r="I51" i="4"/>
  <c r="F51" i="4"/>
  <c r="H51" i="4" s="1"/>
  <c r="E51" i="4"/>
  <c r="D51" i="4"/>
  <c r="U50" i="4"/>
  <c r="S50" i="4"/>
  <c r="R50" i="4"/>
  <c r="O50" i="4"/>
  <c r="Q50" i="4" s="1"/>
  <c r="N50" i="4"/>
  <c r="M50" i="4"/>
  <c r="L50" i="4"/>
  <c r="J50" i="4"/>
  <c r="I50" i="4"/>
  <c r="F50" i="4"/>
  <c r="H50" i="4" s="1"/>
  <c r="E50" i="4"/>
  <c r="D50" i="4"/>
  <c r="S49" i="4"/>
  <c r="U49" i="4" s="1"/>
  <c r="R49" i="4"/>
  <c r="Q49" i="4"/>
  <c r="O49" i="4"/>
  <c r="N49" i="4"/>
  <c r="M49" i="4"/>
  <c r="I49" i="4"/>
  <c r="F49" i="4"/>
  <c r="H49" i="4" s="1"/>
  <c r="E49" i="4"/>
  <c r="D49" i="4"/>
  <c r="D53" i="4" s="1"/>
  <c r="R46" i="4"/>
  <c r="R45" i="4"/>
  <c r="N45" i="4"/>
  <c r="M45" i="4"/>
  <c r="I45" i="4"/>
  <c r="E45" i="4"/>
  <c r="D45" i="4"/>
  <c r="B45" i="4"/>
  <c r="U44" i="4"/>
  <c r="S44" i="4"/>
  <c r="R44" i="4"/>
  <c r="O44" i="4"/>
  <c r="Q44" i="4" s="1"/>
  <c r="N44" i="4"/>
  <c r="M44" i="4"/>
  <c r="J44" i="4"/>
  <c r="L44" i="4" s="1"/>
  <c r="I44" i="4"/>
  <c r="F44" i="4"/>
  <c r="H44" i="4" s="1"/>
  <c r="E44" i="4"/>
  <c r="D44" i="4"/>
  <c r="S43" i="4"/>
  <c r="U43" i="4" s="1"/>
  <c r="R43" i="4"/>
  <c r="O43" i="4"/>
  <c r="Q43" i="4" s="1"/>
  <c r="N43" i="4"/>
  <c r="M43" i="4"/>
  <c r="J43" i="4"/>
  <c r="L43" i="4" s="1"/>
  <c r="I43" i="4"/>
  <c r="F43" i="4"/>
  <c r="H43" i="4" s="1"/>
  <c r="E43" i="4"/>
  <c r="D43" i="4"/>
  <c r="S42" i="4"/>
  <c r="U42" i="4" s="1"/>
  <c r="R42" i="4"/>
  <c r="O42" i="4"/>
  <c r="Q42" i="4" s="1"/>
  <c r="N42" i="4"/>
  <c r="M42" i="4"/>
  <c r="L42" i="4"/>
  <c r="J42" i="4"/>
  <c r="I42" i="4"/>
  <c r="F42" i="4"/>
  <c r="H42" i="4" s="1"/>
  <c r="E42" i="4"/>
  <c r="D42" i="4"/>
  <c r="S41" i="4"/>
  <c r="U41" i="4" s="1"/>
  <c r="R41" i="4"/>
  <c r="Q41" i="4"/>
  <c r="O41" i="4"/>
  <c r="N41" i="4"/>
  <c r="M41" i="4"/>
  <c r="J41" i="4"/>
  <c r="L41" i="4" s="1"/>
  <c r="I41" i="4"/>
  <c r="F41" i="4"/>
  <c r="H41" i="4" s="1"/>
  <c r="E41" i="4"/>
  <c r="D41" i="4"/>
  <c r="R40" i="4"/>
  <c r="U40" i="4" s="1"/>
  <c r="N40" i="4"/>
  <c r="M40" i="4"/>
  <c r="S40" i="4" s="1"/>
  <c r="J40" i="4"/>
  <c r="I40" i="4"/>
  <c r="L40" i="4" s="1"/>
  <c r="E40" i="4"/>
  <c r="H40" i="4" s="1"/>
  <c r="D40" i="4"/>
  <c r="B40" i="4"/>
  <c r="U39" i="4"/>
  <c r="S39" i="4"/>
  <c r="R39" i="4"/>
  <c r="Q39" i="4"/>
  <c r="O39" i="4"/>
  <c r="N39" i="4"/>
  <c r="M39" i="4"/>
  <c r="L39" i="4"/>
  <c r="J39" i="4"/>
  <c r="I39" i="4"/>
  <c r="H39" i="4"/>
  <c r="F39" i="4"/>
  <c r="E39" i="4"/>
  <c r="D39" i="4"/>
  <c r="R38" i="4"/>
  <c r="N38" i="4"/>
  <c r="M38" i="4"/>
  <c r="I38" i="4"/>
  <c r="E38" i="4"/>
  <c r="D38" i="4"/>
  <c r="F38" i="4" s="1"/>
  <c r="H38" i="4" s="1"/>
  <c r="B38" i="4"/>
  <c r="S37" i="4"/>
  <c r="U37" i="4" s="1"/>
  <c r="R37" i="4"/>
  <c r="O37" i="4"/>
  <c r="Q37" i="4" s="1"/>
  <c r="N37" i="4"/>
  <c r="M37" i="4"/>
  <c r="J37" i="4"/>
  <c r="L37" i="4" s="1"/>
  <c r="I37" i="4"/>
  <c r="F37" i="4"/>
  <c r="H37" i="4" s="1"/>
  <c r="E37" i="4"/>
  <c r="D37" i="4"/>
  <c r="U36" i="4"/>
  <c r="S36" i="4"/>
  <c r="R36" i="4"/>
  <c r="O36" i="4"/>
  <c r="Q36" i="4" s="1"/>
  <c r="N36" i="4"/>
  <c r="M36" i="4"/>
  <c r="L36" i="4"/>
  <c r="J36" i="4"/>
  <c r="I36" i="4"/>
  <c r="F36" i="4"/>
  <c r="H36" i="4" s="1"/>
  <c r="E36" i="4"/>
  <c r="D36" i="4"/>
  <c r="S35" i="4"/>
  <c r="U35" i="4" s="1"/>
  <c r="R35" i="4"/>
  <c r="O35" i="4"/>
  <c r="Q35" i="4" s="1"/>
  <c r="N35" i="4"/>
  <c r="M35" i="4"/>
  <c r="J35" i="4"/>
  <c r="L35" i="4" s="1"/>
  <c r="I35" i="4"/>
  <c r="F35" i="4"/>
  <c r="H35" i="4" s="1"/>
  <c r="E35" i="4"/>
  <c r="D35" i="4"/>
  <c r="S34" i="4"/>
  <c r="U34" i="4" s="1"/>
  <c r="R34" i="4"/>
  <c r="O34" i="4"/>
  <c r="Q34" i="4" s="1"/>
  <c r="N34" i="4"/>
  <c r="M34" i="4"/>
  <c r="J34" i="4"/>
  <c r="L34" i="4" s="1"/>
  <c r="I34" i="4"/>
  <c r="F34" i="4"/>
  <c r="H34" i="4" s="1"/>
  <c r="E34" i="4"/>
  <c r="D34" i="4"/>
  <c r="R33" i="4"/>
  <c r="N33" i="4"/>
  <c r="M33" i="4"/>
  <c r="O33" i="4" s="1"/>
  <c r="I33" i="4"/>
  <c r="E33" i="4"/>
  <c r="D33" i="4"/>
  <c r="B33" i="4"/>
  <c r="S32" i="4"/>
  <c r="U32" i="4" s="1"/>
  <c r="R32" i="4"/>
  <c r="O32" i="4"/>
  <c r="Q32" i="4" s="1"/>
  <c r="N32" i="4"/>
  <c r="M32" i="4"/>
  <c r="J32" i="4"/>
  <c r="L32" i="4" s="1"/>
  <c r="I32" i="4"/>
  <c r="F32" i="4"/>
  <c r="H32" i="4" s="1"/>
  <c r="E32" i="4"/>
  <c r="D32" i="4"/>
  <c r="S31" i="4"/>
  <c r="U31" i="4" s="1"/>
  <c r="R31" i="4"/>
  <c r="Q31" i="4"/>
  <c r="O31" i="4"/>
  <c r="N31" i="4"/>
  <c r="M31" i="4"/>
  <c r="J31" i="4"/>
  <c r="L31" i="4" s="1"/>
  <c r="I31" i="4"/>
  <c r="H31" i="4"/>
  <c r="F31" i="4"/>
  <c r="E31" i="4"/>
  <c r="D31" i="4"/>
  <c r="S30" i="4"/>
  <c r="U30" i="4" s="1"/>
  <c r="R30" i="4"/>
  <c r="O30" i="4"/>
  <c r="Q30" i="4" s="1"/>
  <c r="N30" i="4"/>
  <c r="M30" i="4"/>
  <c r="J30" i="4"/>
  <c r="L30" i="4" s="1"/>
  <c r="I30" i="4"/>
  <c r="F30" i="4"/>
  <c r="H30" i="4" s="1"/>
  <c r="E30" i="4"/>
  <c r="D30" i="4"/>
  <c r="U29" i="4"/>
  <c r="S29" i="4"/>
  <c r="R29" i="4"/>
  <c r="O29" i="4"/>
  <c r="Q29" i="4" s="1"/>
  <c r="N29" i="4"/>
  <c r="M29" i="4"/>
  <c r="J29" i="4"/>
  <c r="L29" i="4" s="1"/>
  <c r="I29" i="4"/>
  <c r="F29" i="4"/>
  <c r="H29" i="4" s="1"/>
  <c r="E29" i="4"/>
  <c r="D29" i="4"/>
  <c r="S28" i="4"/>
  <c r="U28" i="4" s="1"/>
  <c r="R28" i="4"/>
  <c r="O28" i="4"/>
  <c r="Q28" i="4" s="1"/>
  <c r="N28" i="4"/>
  <c r="M28" i="4"/>
  <c r="J28" i="4"/>
  <c r="L28" i="4" s="1"/>
  <c r="I28" i="4"/>
  <c r="F28" i="4"/>
  <c r="H28" i="4" s="1"/>
  <c r="E28" i="4"/>
  <c r="D28" i="4"/>
  <c r="M27" i="4"/>
  <c r="E27" i="4"/>
  <c r="F24" i="10" s="1"/>
  <c r="S26" i="4"/>
  <c r="U26" i="4" s="1"/>
  <c r="R26" i="4"/>
  <c r="R27" i="4" s="1"/>
  <c r="N26" i="4"/>
  <c r="M26" i="4"/>
  <c r="I26" i="4"/>
  <c r="E26" i="4"/>
  <c r="D26" i="4"/>
  <c r="D27" i="4" s="1"/>
  <c r="B26" i="4"/>
  <c r="S25" i="4"/>
  <c r="U25" i="4" s="1"/>
  <c r="R25" i="4"/>
  <c r="O25" i="4"/>
  <c r="Q25" i="4" s="1"/>
  <c r="N25" i="4"/>
  <c r="M25" i="4"/>
  <c r="J25" i="4"/>
  <c r="L25" i="4" s="1"/>
  <c r="I25" i="4"/>
  <c r="H25" i="4"/>
  <c r="F25" i="4"/>
  <c r="E25" i="4"/>
  <c r="D25" i="4"/>
  <c r="S24" i="4"/>
  <c r="U24" i="4" s="1"/>
  <c r="R24" i="4"/>
  <c r="Q24" i="4"/>
  <c r="O24" i="4"/>
  <c r="N24" i="4"/>
  <c r="M24" i="4"/>
  <c r="J24" i="4"/>
  <c r="L24" i="4" s="1"/>
  <c r="I24" i="4"/>
  <c r="H24" i="4"/>
  <c r="F24" i="4"/>
  <c r="E24" i="4"/>
  <c r="D24" i="4"/>
  <c r="U23" i="4"/>
  <c r="S23" i="4"/>
  <c r="R23" i="4"/>
  <c r="Q23" i="4"/>
  <c r="O23" i="4"/>
  <c r="N23" i="4"/>
  <c r="M23" i="4"/>
  <c r="L23" i="4"/>
  <c r="J23" i="4"/>
  <c r="I23" i="4"/>
  <c r="H23" i="4"/>
  <c r="F23" i="4"/>
  <c r="E23" i="4"/>
  <c r="D23" i="4"/>
  <c r="R21" i="4"/>
  <c r="N21" i="4"/>
  <c r="N22" i="4" s="1"/>
  <c r="M21" i="4"/>
  <c r="I21" i="4"/>
  <c r="J21" i="4" s="1"/>
  <c r="L21" i="4" s="1"/>
  <c r="E21" i="4"/>
  <c r="D21" i="4"/>
  <c r="F21" i="4" s="1"/>
  <c r="H21" i="4" s="1"/>
  <c r="B21" i="4"/>
  <c r="U20" i="4"/>
  <c r="S20" i="4"/>
  <c r="R20" i="4"/>
  <c r="Q20" i="4"/>
  <c r="O20" i="4"/>
  <c r="N20" i="4"/>
  <c r="M20" i="4"/>
  <c r="J20" i="4"/>
  <c r="L20" i="4" s="1"/>
  <c r="I20" i="4"/>
  <c r="H20" i="4"/>
  <c r="F20" i="4"/>
  <c r="E20" i="4"/>
  <c r="D20" i="4"/>
  <c r="U19" i="4"/>
  <c r="S19" i="4"/>
  <c r="R19" i="4"/>
  <c r="O19" i="4"/>
  <c r="Q19" i="4" s="1"/>
  <c r="N19" i="4"/>
  <c r="M19" i="4"/>
  <c r="L19" i="4"/>
  <c r="J19" i="4"/>
  <c r="I19" i="4"/>
  <c r="F19" i="4"/>
  <c r="H19" i="4" s="1"/>
  <c r="E19" i="4"/>
  <c r="D19" i="4"/>
  <c r="S18" i="4"/>
  <c r="U18" i="4" s="1"/>
  <c r="R18" i="4"/>
  <c r="O18" i="4"/>
  <c r="Q18" i="4" s="1"/>
  <c r="N18" i="4"/>
  <c r="M18" i="4"/>
  <c r="J18" i="4"/>
  <c r="L18" i="4" s="1"/>
  <c r="I18" i="4"/>
  <c r="F18" i="4"/>
  <c r="H18" i="4" s="1"/>
  <c r="E18" i="4"/>
  <c r="D18" i="4"/>
  <c r="S17" i="4"/>
  <c r="U17" i="4" s="1"/>
  <c r="R17" i="4"/>
  <c r="Q17" i="4"/>
  <c r="O17" i="4"/>
  <c r="N17" i="4"/>
  <c r="M17" i="4"/>
  <c r="J17" i="4"/>
  <c r="L17" i="4" s="1"/>
  <c r="I17" i="4"/>
  <c r="H17" i="4"/>
  <c r="F17" i="4"/>
  <c r="E17" i="4"/>
  <c r="D17" i="4"/>
  <c r="U16" i="4"/>
  <c r="S16" i="4"/>
  <c r="R16" i="4"/>
  <c r="O16" i="4"/>
  <c r="Q16" i="4" s="1"/>
  <c r="N16" i="4"/>
  <c r="M16" i="4"/>
  <c r="J16" i="4"/>
  <c r="L16" i="4" s="1"/>
  <c r="I16" i="4"/>
  <c r="F16" i="4"/>
  <c r="H16" i="4" s="1"/>
  <c r="E16" i="4"/>
  <c r="D16" i="4"/>
  <c r="R15" i="4"/>
  <c r="N15" i="4"/>
  <c r="M15" i="4"/>
  <c r="I15" i="4"/>
  <c r="E15" i="4"/>
  <c r="E22" i="4" s="1"/>
  <c r="D15" i="4"/>
  <c r="B15" i="4"/>
  <c r="S14" i="4"/>
  <c r="U14" i="4" s="1"/>
  <c r="R14" i="4"/>
  <c r="Q14" i="4"/>
  <c r="O14" i="4"/>
  <c r="N14" i="4"/>
  <c r="M14" i="4"/>
  <c r="J14" i="4"/>
  <c r="L14" i="4" s="1"/>
  <c r="I14" i="4"/>
  <c r="H14" i="4"/>
  <c r="F14" i="4"/>
  <c r="E14" i="4"/>
  <c r="D14" i="4"/>
  <c r="S13" i="4"/>
  <c r="U13" i="4" s="1"/>
  <c r="R13" i="4"/>
  <c r="Q13" i="4"/>
  <c r="O13" i="4"/>
  <c r="N13" i="4"/>
  <c r="M13" i="4"/>
  <c r="J13" i="4"/>
  <c r="L13" i="4" s="1"/>
  <c r="I13" i="4"/>
  <c r="H13" i="4"/>
  <c r="F13" i="4"/>
  <c r="E13" i="4"/>
  <c r="D13" i="4"/>
  <c r="U12" i="4"/>
  <c r="S12" i="4"/>
  <c r="R12" i="4"/>
  <c r="O12" i="4"/>
  <c r="Q12" i="4" s="1"/>
  <c r="N12" i="4"/>
  <c r="M12" i="4"/>
  <c r="L12" i="4"/>
  <c r="J12" i="4"/>
  <c r="I12" i="4"/>
  <c r="F12" i="4"/>
  <c r="H12" i="4" s="1"/>
  <c r="E12" i="4"/>
  <c r="D12" i="4"/>
  <c r="B9" i="4"/>
  <c r="E7" i="4"/>
  <c r="C7" i="4"/>
  <c r="E6" i="4"/>
  <c r="C6" i="4"/>
  <c r="E5" i="4"/>
  <c r="C5" i="4"/>
  <c r="R218" i="3"/>
  <c r="N218" i="3"/>
  <c r="N219" i="3" s="1"/>
  <c r="Q219" i="3" s="1"/>
  <c r="M218" i="3"/>
  <c r="M219" i="3" s="1"/>
  <c r="I218" i="3"/>
  <c r="I219" i="3" s="1"/>
  <c r="E218" i="3"/>
  <c r="H218" i="3" s="1"/>
  <c r="D218" i="3"/>
  <c r="D219" i="3" s="1"/>
  <c r="B218" i="3"/>
  <c r="S217" i="3"/>
  <c r="U217" i="3" s="1"/>
  <c r="R217" i="3"/>
  <c r="Q217" i="3"/>
  <c r="O217" i="3"/>
  <c r="N217" i="3"/>
  <c r="M217" i="3"/>
  <c r="J217" i="3"/>
  <c r="L217" i="3" s="1"/>
  <c r="I217" i="3"/>
  <c r="H217" i="3"/>
  <c r="F217" i="3"/>
  <c r="E217" i="3"/>
  <c r="D217" i="3"/>
  <c r="S216" i="3"/>
  <c r="U216" i="3" s="1"/>
  <c r="R216" i="3"/>
  <c r="Q216" i="3"/>
  <c r="O216" i="3"/>
  <c r="N216" i="3"/>
  <c r="M216" i="3"/>
  <c r="J216" i="3"/>
  <c r="L216" i="3" s="1"/>
  <c r="I216" i="3"/>
  <c r="H216" i="3"/>
  <c r="F216" i="3"/>
  <c r="E216" i="3"/>
  <c r="D216" i="3"/>
  <c r="R210" i="3"/>
  <c r="R211" i="3" s="1"/>
  <c r="N210" i="3"/>
  <c r="Q210" i="3" s="1"/>
  <c r="M210" i="3"/>
  <c r="I210" i="3"/>
  <c r="E210" i="3"/>
  <c r="E211" i="3" s="1"/>
  <c r="D210" i="3"/>
  <c r="D211" i="3" s="1"/>
  <c r="B210" i="3"/>
  <c r="S209" i="3"/>
  <c r="U209" i="3" s="1"/>
  <c r="R209" i="3"/>
  <c r="Q209" i="3"/>
  <c r="O209" i="3"/>
  <c r="N209" i="3"/>
  <c r="M209" i="3"/>
  <c r="J209" i="3"/>
  <c r="L209" i="3" s="1"/>
  <c r="I209" i="3"/>
  <c r="H209" i="3"/>
  <c r="F209" i="3"/>
  <c r="E209" i="3"/>
  <c r="D209" i="3"/>
  <c r="U208" i="3"/>
  <c r="S208" i="3"/>
  <c r="R208" i="3"/>
  <c r="Q208" i="3"/>
  <c r="O208" i="3"/>
  <c r="N208" i="3"/>
  <c r="M208" i="3"/>
  <c r="J208" i="3"/>
  <c r="L208" i="3" s="1"/>
  <c r="I208" i="3"/>
  <c r="H208" i="3"/>
  <c r="F208" i="3"/>
  <c r="E208" i="3"/>
  <c r="D208" i="3"/>
  <c r="S207" i="3"/>
  <c r="U207" i="3" s="1"/>
  <c r="R207" i="3"/>
  <c r="Q207" i="3"/>
  <c r="O207" i="3"/>
  <c r="N207" i="3"/>
  <c r="M207" i="3"/>
  <c r="J207" i="3"/>
  <c r="L207" i="3" s="1"/>
  <c r="I207" i="3"/>
  <c r="H207" i="3"/>
  <c r="F207" i="3"/>
  <c r="E207" i="3"/>
  <c r="D207" i="3"/>
  <c r="U206" i="3"/>
  <c r="S206" i="3"/>
  <c r="R206" i="3"/>
  <c r="Q206" i="3"/>
  <c r="O206" i="3"/>
  <c r="N206" i="3"/>
  <c r="M206" i="3"/>
  <c r="L206" i="3"/>
  <c r="J206" i="3"/>
  <c r="I206" i="3"/>
  <c r="H206" i="3"/>
  <c r="F206" i="3"/>
  <c r="E206" i="3"/>
  <c r="D206" i="3"/>
  <c r="U205" i="3"/>
  <c r="S205" i="3"/>
  <c r="R205" i="3"/>
  <c r="Q205" i="3"/>
  <c r="O205" i="3"/>
  <c r="N205" i="3"/>
  <c r="M205" i="3"/>
  <c r="L205" i="3"/>
  <c r="J205" i="3"/>
  <c r="I205" i="3"/>
  <c r="H205" i="3"/>
  <c r="F205" i="3"/>
  <c r="E205" i="3"/>
  <c r="D205" i="3"/>
  <c r="R203" i="3"/>
  <c r="R204" i="3" s="1"/>
  <c r="N203" i="3"/>
  <c r="N204" i="3" s="1"/>
  <c r="M203" i="3"/>
  <c r="M204" i="3" s="1"/>
  <c r="I203" i="3"/>
  <c r="I204" i="3" s="1"/>
  <c r="E203" i="3"/>
  <c r="B203" i="3"/>
  <c r="U202" i="3"/>
  <c r="S202" i="3"/>
  <c r="R202" i="3"/>
  <c r="O202" i="3"/>
  <c r="Q202" i="3" s="1"/>
  <c r="N202" i="3"/>
  <c r="M202" i="3"/>
  <c r="L202" i="3"/>
  <c r="J202" i="3"/>
  <c r="I202" i="3"/>
  <c r="F202" i="3"/>
  <c r="H202" i="3" s="1"/>
  <c r="E202" i="3"/>
  <c r="D202" i="3"/>
  <c r="S201" i="3"/>
  <c r="U201" i="3" s="1"/>
  <c r="R201" i="3"/>
  <c r="Q201" i="3"/>
  <c r="O201" i="3"/>
  <c r="N201" i="3"/>
  <c r="M201" i="3"/>
  <c r="J201" i="3"/>
  <c r="L201" i="3" s="1"/>
  <c r="I201" i="3"/>
  <c r="H201" i="3"/>
  <c r="F201" i="3"/>
  <c r="E201" i="3"/>
  <c r="D201" i="3"/>
  <c r="S200" i="3"/>
  <c r="U200" i="3" s="1"/>
  <c r="R200" i="3"/>
  <c r="Q200" i="3"/>
  <c r="O200" i="3"/>
  <c r="N200" i="3"/>
  <c r="M200" i="3"/>
  <c r="J200" i="3"/>
  <c r="L200" i="3" s="1"/>
  <c r="I200" i="3"/>
  <c r="H200" i="3"/>
  <c r="F200" i="3"/>
  <c r="E200" i="3"/>
  <c r="D200" i="3"/>
  <c r="S199" i="3"/>
  <c r="U199" i="3" s="1"/>
  <c r="R199" i="3"/>
  <c r="Q199" i="3"/>
  <c r="O199" i="3"/>
  <c r="N199" i="3"/>
  <c r="M199" i="3"/>
  <c r="J199" i="3"/>
  <c r="L199" i="3" s="1"/>
  <c r="I199" i="3"/>
  <c r="H199" i="3"/>
  <c r="F199" i="3"/>
  <c r="E199" i="3"/>
  <c r="D199" i="3"/>
  <c r="S198" i="3"/>
  <c r="U198" i="3" s="1"/>
  <c r="R198" i="3"/>
  <c r="Q198" i="3"/>
  <c r="O198" i="3"/>
  <c r="N198" i="3"/>
  <c r="M198" i="3"/>
  <c r="I198" i="3"/>
  <c r="H198" i="3"/>
  <c r="E198" i="3"/>
  <c r="D198" i="3"/>
  <c r="D203" i="3" s="1"/>
  <c r="R192" i="3"/>
  <c r="N192" i="3"/>
  <c r="Q192" i="3" s="1"/>
  <c r="M192" i="3"/>
  <c r="I192" i="3"/>
  <c r="E192" i="3"/>
  <c r="D192" i="3"/>
  <c r="B192" i="3"/>
  <c r="S191" i="3"/>
  <c r="U191" i="3" s="1"/>
  <c r="R191" i="3"/>
  <c r="Q191" i="3"/>
  <c r="O191" i="3"/>
  <c r="N191" i="3"/>
  <c r="M191" i="3"/>
  <c r="J191" i="3"/>
  <c r="L191" i="3" s="1"/>
  <c r="I191" i="3"/>
  <c r="H191" i="3"/>
  <c r="F191" i="3"/>
  <c r="E191" i="3"/>
  <c r="D191" i="3"/>
  <c r="U190" i="3"/>
  <c r="S190" i="3"/>
  <c r="R190" i="3"/>
  <c r="Q190" i="3"/>
  <c r="O190" i="3"/>
  <c r="N190" i="3"/>
  <c r="M190" i="3"/>
  <c r="L190" i="3"/>
  <c r="J190" i="3"/>
  <c r="I190" i="3"/>
  <c r="H190" i="3"/>
  <c r="F190" i="3"/>
  <c r="E190" i="3"/>
  <c r="D190" i="3"/>
  <c r="R189" i="3"/>
  <c r="N189" i="3"/>
  <c r="M189" i="3"/>
  <c r="S189" i="3" s="1"/>
  <c r="U189" i="3" s="1"/>
  <c r="I189" i="3"/>
  <c r="E189" i="3"/>
  <c r="D189" i="3"/>
  <c r="B189" i="3"/>
  <c r="S188" i="3"/>
  <c r="U188" i="3" s="1"/>
  <c r="R188" i="3"/>
  <c r="O188" i="3"/>
  <c r="Q188" i="3" s="1"/>
  <c r="N188" i="3"/>
  <c r="M188" i="3"/>
  <c r="J188" i="3"/>
  <c r="L188" i="3" s="1"/>
  <c r="I188" i="3"/>
  <c r="F188" i="3"/>
  <c r="H188" i="3" s="1"/>
  <c r="E188" i="3"/>
  <c r="D188" i="3"/>
  <c r="S187" i="3"/>
  <c r="U187" i="3" s="1"/>
  <c r="R187" i="3"/>
  <c r="O187" i="3"/>
  <c r="Q187" i="3" s="1"/>
  <c r="N187" i="3"/>
  <c r="M187" i="3"/>
  <c r="J187" i="3"/>
  <c r="L187" i="3" s="1"/>
  <c r="I187" i="3"/>
  <c r="F187" i="3"/>
  <c r="H187" i="3" s="1"/>
  <c r="E187" i="3"/>
  <c r="D187" i="3"/>
  <c r="S186" i="3"/>
  <c r="U186" i="3" s="1"/>
  <c r="R186" i="3"/>
  <c r="O186" i="3"/>
  <c r="Q186" i="3" s="1"/>
  <c r="N186" i="3"/>
  <c r="M186" i="3"/>
  <c r="J186" i="3"/>
  <c r="L186" i="3" s="1"/>
  <c r="I186" i="3"/>
  <c r="F186" i="3"/>
  <c r="H186" i="3" s="1"/>
  <c r="E186" i="3"/>
  <c r="D186" i="3"/>
  <c r="S185" i="3"/>
  <c r="U185" i="3" s="1"/>
  <c r="R185" i="3"/>
  <c r="O185" i="3"/>
  <c r="Q185" i="3" s="1"/>
  <c r="N185" i="3"/>
  <c r="M185" i="3"/>
  <c r="J185" i="3"/>
  <c r="L185" i="3" s="1"/>
  <c r="I185" i="3"/>
  <c r="F185" i="3"/>
  <c r="H185" i="3" s="1"/>
  <c r="E185" i="3"/>
  <c r="D185" i="3"/>
  <c r="U184" i="3"/>
  <c r="S184" i="3"/>
  <c r="R184" i="3"/>
  <c r="O184" i="3"/>
  <c r="Q184" i="3" s="1"/>
  <c r="N184" i="3"/>
  <c r="M184" i="3"/>
  <c r="L184" i="3"/>
  <c r="J184" i="3"/>
  <c r="I184" i="3"/>
  <c r="F184" i="3"/>
  <c r="H184" i="3" s="1"/>
  <c r="E184" i="3"/>
  <c r="D184" i="3"/>
  <c r="S183" i="3"/>
  <c r="U183" i="3" s="1"/>
  <c r="R183" i="3"/>
  <c r="O183" i="3"/>
  <c r="Q183" i="3" s="1"/>
  <c r="N183" i="3"/>
  <c r="M183" i="3"/>
  <c r="J183" i="3"/>
  <c r="L183" i="3" s="1"/>
  <c r="I183" i="3"/>
  <c r="F183" i="3"/>
  <c r="H183" i="3" s="1"/>
  <c r="E183" i="3"/>
  <c r="D183" i="3"/>
  <c r="U182" i="3"/>
  <c r="S182" i="3"/>
  <c r="R182" i="3"/>
  <c r="O182" i="3"/>
  <c r="Q182" i="3" s="1"/>
  <c r="N182" i="3"/>
  <c r="M182" i="3"/>
  <c r="L182" i="3"/>
  <c r="J182" i="3"/>
  <c r="I182" i="3"/>
  <c r="F182" i="3"/>
  <c r="H182" i="3" s="1"/>
  <c r="E182" i="3"/>
  <c r="D182" i="3"/>
  <c r="R181" i="3"/>
  <c r="N181" i="3"/>
  <c r="M181" i="3"/>
  <c r="I181" i="3"/>
  <c r="E181" i="3"/>
  <c r="D185" i="10" s="1"/>
  <c r="D181" i="3"/>
  <c r="B181" i="3"/>
  <c r="S180" i="3"/>
  <c r="U180" i="3" s="1"/>
  <c r="R180" i="3"/>
  <c r="Q180" i="3"/>
  <c r="O180" i="3"/>
  <c r="N180" i="3"/>
  <c r="M180" i="3"/>
  <c r="J180" i="3"/>
  <c r="L180" i="3" s="1"/>
  <c r="I180" i="3"/>
  <c r="H180" i="3"/>
  <c r="F180" i="3"/>
  <c r="E180" i="3"/>
  <c r="D180" i="3"/>
  <c r="S179" i="3"/>
  <c r="U179" i="3" s="1"/>
  <c r="R179" i="3"/>
  <c r="Q179" i="3"/>
  <c r="O179" i="3"/>
  <c r="N179" i="3"/>
  <c r="M179" i="3"/>
  <c r="J179" i="3"/>
  <c r="L179" i="3" s="1"/>
  <c r="I179" i="3"/>
  <c r="F179" i="3"/>
  <c r="H179" i="3" s="1"/>
  <c r="E179" i="3"/>
  <c r="D179" i="3"/>
  <c r="R178" i="3"/>
  <c r="N178" i="3"/>
  <c r="M178" i="3"/>
  <c r="O178" i="3" s="1"/>
  <c r="I178" i="3"/>
  <c r="E178" i="3"/>
  <c r="D178" i="3"/>
  <c r="B178" i="3"/>
  <c r="S177" i="3"/>
  <c r="U177" i="3" s="1"/>
  <c r="R177" i="3"/>
  <c r="O177" i="3"/>
  <c r="Q177" i="3" s="1"/>
  <c r="N177" i="3"/>
  <c r="M177" i="3"/>
  <c r="J177" i="3"/>
  <c r="L177" i="3" s="1"/>
  <c r="I177" i="3"/>
  <c r="F177" i="3"/>
  <c r="H177" i="3" s="1"/>
  <c r="E177" i="3"/>
  <c r="D177" i="3"/>
  <c r="S176" i="3"/>
  <c r="U176" i="3" s="1"/>
  <c r="R176" i="3"/>
  <c r="O176" i="3"/>
  <c r="Q176" i="3" s="1"/>
  <c r="N176" i="3"/>
  <c r="M176" i="3"/>
  <c r="J176" i="3"/>
  <c r="L176" i="3" s="1"/>
  <c r="I176" i="3"/>
  <c r="H176" i="3"/>
  <c r="F176" i="3"/>
  <c r="E176" i="3"/>
  <c r="D176" i="3"/>
  <c r="S175" i="3"/>
  <c r="U175" i="3" s="1"/>
  <c r="R175" i="3"/>
  <c r="Q175" i="3"/>
  <c r="O175" i="3"/>
  <c r="N175" i="3"/>
  <c r="M175" i="3"/>
  <c r="J175" i="3"/>
  <c r="L175" i="3" s="1"/>
  <c r="I175" i="3"/>
  <c r="H175" i="3"/>
  <c r="F175" i="3"/>
  <c r="E175" i="3"/>
  <c r="D175" i="3"/>
  <c r="S174" i="3"/>
  <c r="U174" i="3" s="1"/>
  <c r="R174" i="3"/>
  <c r="O174" i="3"/>
  <c r="Q174" i="3" s="1"/>
  <c r="N174" i="3"/>
  <c r="M174" i="3"/>
  <c r="J174" i="3"/>
  <c r="L174" i="3" s="1"/>
  <c r="I174" i="3"/>
  <c r="F174" i="3"/>
  <c r="H174" i="3" s="1"/>
  <c r="E174" i="3"/>
  <c r="D174" i="3"/>
  <c r="S173" i="3"/>
  <c r="U173" i="3" s="1"/>
  <c r="R173" i="3"/>
  <c r="O173" i="3"/>
  <c r="Q173" i="3" s="1"/>
  <c r="N173" i="3"/>
  <c r="M173" i="3"/>
  <c r="J173" i="3"/>
  <c r="L173" i="3" s="1"/>
  <c r="I173" i="3"/>
  <c r="F173" i="3"/>
  <c r="H173" i="3" s="1"/>
  <c r="E173" i="3"/>
  <c r="D173" i="3"/>
  <c r="S172" i="3"/>
  <c r="U172" i="3" s="1"/>
  <c r="R172" i="3"/>
  <c r="Q172" i="3"/>
  <c r="O172" i="3"/>
  <c r="N172" i="3"/>
  <c r="M172" i="3"/>
  <c r="J172" i="3"/>
  <c r="L172" i="3" s="1"/>
  <c r="I172" i="3"/>
  <c r="H172" i="3"/>
  <c r="F172" i="3"/>
  <c r="E172" i="3"/>
  <c r="D172" i="3"/>
  <c r="U171" i="3"/>
  <c r="S171" i="3"/>
  <c r="R171" i="3"/>
  <c r="O171" i="3"/>
  <c r="Q171" i="3" s="1"/>
  <c r="N171" i="3"/>
  <c r="M171" i="3"/>
  <c r="J171" i="3"/>
  <c r="L171" i="3" s="1"/>
  <c r="I171" i="3"/>
  <c r="F171" i="3"/>
  <c r="H171" i="3" s="1"/>
  <c r="E171" i="3"/>
  <c r="D171" i="3"/>
  <c r="S170" i="3"/>
  <c r="U170" i="3" s="1"/>
  <c r="R170" i="3"/>
  <c r="Q170" i="3"/>
  <c r="O170" i="3"/>
  <c r="N170" i="3"/>
  <c r="M170" i="3"/>
  <c r="J170" i="3"/>
  <c r="L170" i="3" s="1"/>
  <c r="I170" i="3"/>
  <c r="H170" i="3"/>
  <c r="F170" i="3"/>
  <c r="E170" i="3"/>
  <c r="D170" i="3"/>
  <c r="U169" i="3"/>
  <c r="S169" i="3"/>
  <c r="R169" i="3"/>
  <c r="Q169" i="3"/>
  <c r="O169" i="3"/>
  <c r="N169" i="3"/>
  <c r="M169" i="3"/>
  <c r="L169" i="3"/>
  <c r="J169" i="3"/>
  <c r="I169" i="3"/>
  <c r="H169" i="3"/>
  <c r="F169" i="3"/>
  <c r="E169" i="3"/>
  <c r="D169" i="3"/>
  <c r="U168" i="3"/>
  <c r="S168" i="3"/>
  <c r="R168" i="3"/>
  <c r="O168" i="3"/>
  <c r="Q168" i="3" s="1"/>
  <c r="N168" i="3"/>
  <c r="M168" i="3"/>
  <c r="L168" i="3"/>
  <c r="J168" i="3"/>
  <c r="I168" i="3"/>
  <c r="F168" i="3"/>
  <c r="H168" i="3" s="1"/>
  <c r="E168" i="3"/>
  <c r="D168" i="3"/>
  <c r="S167" i="3"/>
  <c r="U167" i="3" s="1"/>
  <c r="R167" i="3"/>
  <c r="O167" i="3"/>
  <c r="Q167" i="3" s="1"/>
  <c r="N167" i="3"/>
  <c r="M167" i="3"/>
  <c r="J167" i="3"/>
  <c r="L167" i="3" s="1"/>
  <c r="I167" i="3"/>
  <c r="H167" i="3"/>
  <c r="F167" i="3"/>
  <c r="E167" i="3"/>
  <c r="D167" i="3"/>
  <c r="R166" i="3"/>
  <c r="N166" i="3"/>
  <c r="M166" i="3"/>
  <c r="O166" i="3" s="1"/>
  <c r="Q166" i="3" s="1"/>
  <c r="I166" i="3"/>
  <c r="E166" i="3"/>
  <c r="D166" i="3"/>
  <c r="B166" i="3"/>
  <c r="U165" i="3"/>
  <c r="S165" i="3"/>
  <c r="R165" i="3"/>
  <c r="O165" i="3"/>
  <c r="Q165" i="3" s="1"/>
  <c r="N165" i="3"/>
  <c r="M165" i="3"/>
  <c r="L165" i="3"/>
  <c r="J165" i="3"/>
  <c r="I165" i="3"/>
  <c r="F165" i="3"/>
  <c r="H165" i="3" s="1"/>
  <c r="E165" i="3"/>
  <c r="D165" i="3"/>
  <c r="S164" i="3"/>
  <c r="U164" i="3" s="1"/>
  <c r="R164" i="3"/>
  <c r="O164" i="3"/>
  <c r="Q164" i="3" s="1"/>
  <c r="N164" i="3"/>
  <c r="M164" i="3"/>
  <c r="J164" i="3"/>
  <c r="L164" i="3" s="1"/>
  <c r="I164" i="3"/>
  <c r="F164" i="3"/>
  <c r="H164" i="3" s="1"/>
  <c r="E164" i="3"/>
  <c r="D164" i="3"/>
  <c r="R163" i="3"/>
  <c r="N163" i="3"/>
  <c r="M163" i="3"/>
  <c r="I163" i="3"/>
  <c r="E163" i="3"/>
  <c r="D163" i="3"/>
  <c r="B163" i="3"/>
  <c r="S162" i="3"/>
  <c r="U162" i="3" s="1"/>
  <c r="R162" i="3"/>
  <c r="Q162" i="3"/>
  <c r="O162" i="3"/>
  <c r="N162" i="3"/>
  <c r="M162" i="3"/>
  <c r="J162" i="3"/>
  <c r="L162" i="3" s="1"/>
  <c r="I162" i="3"/>
  <c r="H162" i="3"/>
  <c r="F162" i="3"/>
  <c r="E162" i="3"/>
  <c r="D162" i="3"/>
  <c r="S161" i="3"/>
  <c r="U161" i="3" s="1"/>
  <c r="R161" i="3"/>
  <c r="O161" i="3"/>
  <c r="Q161" i="3" s="1"/>
  <c r="N161" i="3"/>
  <c r="M161" i="3"/>
  <c r="J161" i="3"/>
  <c r="L161" i="3" s="1"/>
  <c r="I161" i="3"/>
  <c r="F161" i="3"/>
  <c r="H161" i="3" s="1"/>
  <c r="E161" i="3"/>
  <c r="D161" i="3"/>
  <c r="S160" i="3"/>
  <c r="U160" i="3" s="1"/>
  <c r="R160" i="3"/>
  <c r="O160" i="3"/>
  <c r="Q160" i="3" s="1"/>
  <c r="N160" i="3"/>
  <c r="M160" i="3"/>
  <c r="J160" i="3"/>
  <c r="L160" i="3" s="1"/>
  <c r="I160" i="3"/>
  <c r="F160" i="3"/>
  <c r="H160" i="3" s="1"/>
  <c r="E160" i="3"/>
  <c r="D160" i="3"/>
  <c r="U159" i="3"/>
  <c r="S159" i="3"/>
  <c r="R159" i="3"/>
  <c r="Q159" i="3"/>
  <c r="O159" i="3"/>
  <c r="N159" i="3"/>
  <c r="M159" i="3"/>
  <c r="L159" i="3"/>
  <c r="J159" i="3"/>
  <c r="I159" i="3"/>
  <c r="H159" i="3"/>
  <c r="F159" i="3"/>
  <c r="E159" i="3"/>
  <c r="D159" i="3"/>
  <c r="S158" i="3"/>
  <c r="U158" i="3" s="1"/>
  <c r="R158" i="3"/>
  <c r="O158" i="3"/>
  <c r="Q158" i="3" s="1"/>
  <c r="N158" i="3"/>
  <c r="M158" i="3"/>
  <c r="J158" i="3"/>
  <c r="L158" i="3" s="1"/>
  <c r="I158" i="3"/>
  <c r="F158" i="3"/>
  <c r="H158" i="3" s="1"/>
  <c r="E158" i="3"/>
  <c r="D158" i="3"/>
  <c r="U157" i="3"/>
  <c r="S157" i="3"/>
  <c r="R157" i="3"/>
  <c r="O157" i="3"/>
  <c r="Q157" i="3" s="1"/>
  <c r="N157" i="3"/>
  <c r="M157" i="3"/>
  <c r="J157" i="3"/>
  <c r="L157" i="3" s="1"/>
  <c r="I157" i="3"/>
  <c r="F157" i="3"/>
  <c r="H157" i="3" s="1"/>
  <c r="E157" i="3"/>
  <c r="D157" i="3"/>
  <c r="S156" i="3"/>
  <c r="U156" i="3" s="1"/>
  <c r="R156" i="3"/>
  <c r="O156" i="3"/>
  <c r="Q156" i="3" s="1"/>
  <c r="N156" i="3"/>
  <c r="M156" i="3"/>
  <c r="J156" i="3"/>
  <c r="L156" i="3" s="1"/>
  <c r="I156" i="3"/>
  <c r="F156" i="3"/>
  <c r="H156" i="3" s="1"/>
  <c r="E156" i="3"/>
  <c r="D156" i="3"/>
  <c r="R155" i="3"/>
  <c r="N155" i="3"/>
  <c r="M155" i="3"/>
  <c r="I155" i="3"/>
  <c r="E155" i="3"/>
  <c r="D155" i="3"/>
  <c r="B155" i="3"/>
  <c r="S154" i="3"/>
  <c r="U154" i="3" s="1"/>
  <c r="R154" i="3"/>
  <c r="O154" i="3"/>
  <c r="Q154" i="3" s="1"/>
  <c r="N154" i="3"/>
  <c r="M154" i="3"/>
  <c r="J154" i="3"/>
  <c r="L154" i="3" s="1"/>
  <c r="I154" i="3"/>
  <c r="F154" i="3"/>
  <c r="H154" i="3" s="1"/>
  <c r="E154" i="3"/>
  <c r="D154" i="3"/>
  <c r="S153" i="3"/>
  <c r="U153" i="3" s="1"/>
  <c r="R153" i="3"/>
  <c r="O153" i="3"/>
  <c r="Q153" i="3" s="1"/>
  <c r="N153" i="3"/>
  <c r="M153" i="3"/>
  <c r="J153" i="3"/>
  <c r="L153" i="3" s="1"/>
  <c r="I153" i="3"/>
  <c r="F153" i="3"/>
  <c r="H153" i="3" s="1"/>
  <c r="E153" i="3"/>
  <c r="D153" i="3"/>
  <c r="S152" i="3"/>
  <c r="U152" i="3" s="1"/>
  <c r="R152" i="3"/>
  <c r="O152" i="3"/>
  <c r="Q152" i="3" s="1"/>
  <c r="N152" i="3"/>
  <c r="M152" i="3"/>
  <c r="L152" i="3"/>
  <c r="J152" i="3"/>
  <c r="I152" i="3"/>
  <c r="F152" i="3"/>
  <c r="H152" i="3" s="1"/>
  <c r="E152" i="3"/>
  <c r="D152" i="3"/>
  <c r="R151" i="3"/>
  <c r="N151" i="3"/>
  <c r="M151" i="3"/>
  <c r="S151" i="3" s="1"/>
  <c r="U151" i="3" s="1"/>
  <c r="I151" i="3"/>
  <c r="E151" i="3"/>
  <c r="D151" i="3"/>
  <c r="B151" i="3"/>
  <c r="S150" i="3"/>
  <c r="U150" i="3" s="1"/>
  <c r="R150" i="3"/>
  <c r="O150" i="3"/>
  <c r="Q150" i="3" s="1"/>
  <c r="N150" i="3"/>
  <c r="M150" i="3"/>
  <c r="J150" i="3"/>
  <c r="L150" i="3" s="1"/>
  <c r="I150" i="3"/>
  <c r="F150" i="3"/>
  <c r="H150" i="3" s="1"/>
  <c r="E150" i="3"/>
  <c r="D150" i="3"/>
  <c r="S149" i="3"/>
  <c r="U149" i="3" s="1"/>
  <c r="R149" i="3"/>
  <c r="O149" i="3"/>
  <c r="Q149" i="3" s="1"/>
  <c r="N149" i="3"/>
  <c r="M149" i="3"/>
  <c r="J149" i="3"/>
  <c r="L149" i="3" s="1"/>
  <c r="I149" i="3"/>
  <c r="F149" i="3"/>
  <c r="H149" i="3" s="1"/>
  <c r="E149" i="3"/>
  <c r="D149" i="3"/>
  <c r="S148" i="3"/>
  <c r="U148" i="3" s="1"/>
  <c r="R148" i="3"/>
  <c r="O148" i="3"/>
  <c r="Q148" i="3" s="1"/>
  <c r="N148" i="3"/>
  <c r="M148" i="3"/>
  <c r="J148" i="3"/>
  <c r="L148" i="3" s="1"/>
  <c r="I148" i="3"/>
  <c r="F148" i="3"/>
  <c r="H148" i="3" s="1"/>
  <c r="E148" i="3"/>
  <c r="D148" i="3"/>
  <c r="S147" i="3"/>
  <c r="U147" i="3" s="1"/>
  <c r="R147" i="3"/>
  <c r="Q147" i="3"/>
  <c r="O147" i="3"/>
  <c r="N147" i="3"/>
  <c r="M147" i="3"/>
  <c r="J147" i="3"/>
  <c r="L147" i="3" s="1"/>
  <c r="I147" i="3"/>
  <c r="H147" i="3"/>
  <c r="F147" i="3"/>
  <c r="E147" i="3"/>
  <c r="D147" i="3"/>
  <c r="S146" i="3"/>
  <c r="U146" i="3" s="1"/>
  <c r="R146" i="3"/>
  <c r="O146" i="3"/>
  <c r="Q146" i="3" s="1"/>
  <c r="N146" i="3"/>
  <c r="M146" i="3"/>
  <c r="J146" i="3"/>
  <c r="L146" i="3" s="1"/>
  <c r="I146" i="3"/>
  <c r="F146" i="3"/>
  <c r="H146" i="3" s="1"/>
  <c r="E146" i="3"/>
  <c r="D146" i="3"/>
  <c r="R145" i="3"/>
  <c r="N145" i="3"/>
  <c r="M145" i="3"/>
  <c r="I145" i="3"/>
  <c r="E145" i="3"/>
  <c r="D145" i="3"/>
  <c r="B145" i="3"/>
  <c r="S144" i="3"/>
  <c r="U144" i="3" s="1"/>
  <c r="R144" i="3"/>
  <c r="O144" i="3"/>
  <c r="Q144" i="3" s="1"/>
  <c r="N144" i="3"/>
  <c r="M144" i="3"/>
  <c r="J144" i="3"/>
  <c r="L144" i="3" s="1"/>
  <c r="I144" i="3"/>
  <c r="F144" i="3"/>
  <c r="H144" i="3" s="1"/>
  <c r="E144" i="3"/>
  <c r="D144" i="3"/>
  <c r="S143" i="3"/>
  <c r="U143" i="3" s="1"/>
  <c r="R143" i="3"/>
  <c r="O143" i="3"/>
  <c r="Q143" i="3" s="1"/>
  <c r="N143" i="3"/>
  <c r="M143" i="3"/>
  <c r="J143" i="3"/>
  <c r="L143" i="3" s="1"/>
  <c r="I143" i="3"/>
  <c r="H143" i="3"/>
  <c r="F143" i="3"/>
  <c r="E143" i="3"/>
  <c r="D143" i="3"/>
  <c r="S142" i="3"/>
  <c r="U142" i="3" s="1"/>
  <c r="R142" i="3"/>
  <c r="O142" i="3"/>
  <c r="Q142" i="3" s="1"/>
  <c r="N142" i="3"/>
  <c r="M142" i="3"/>
  <c r="J142" i="3"/>
  <c r="L142" i="3" s="1"/>
  <c r="I142" i="3"/>
  <c r="F142" i="3"/>
  <c r="H142" i="3" s="1"/>
  <c r="E142" i="3"/>
  <c r="D142" i="3"/>
  <c r="U141" i="3"/>
  <c r="S141" i="3"/>
  <c r="R141" i="3"/>
  <c r="O141" i="3"/>
  <c r="Q141" i="3" s="1"/>
  <c r="N141" i="3"/>
  <c r="M141" i="3"/>
  <c r="L141" i="3"/>
  <c r="J141" i="3"/>
  <c r="I141" i="3"/>
  <c r="F141" i="3"/>
  <c r="H141" i="3" s="1"/>
  <c r="E141" i="3"/>
  <c r="D141" i="3"/>
  <c r="S140" i="3"/>
  <c r="U140" i="3" s="1"/>
  <c r="R140" i="3"/>
  <c r="O140" i="3"/>
  <c r="Q140" i="3" s="1"/>
  <c r="N140" i="3"/>
  <c r="M140" i="3"/>
  <c r="J140" i="3"/>
  <c r="L140" i="3" s="1"/>
  <c r="I140" i="3"/>
  <c r="F140" i="3"/>
  <c r="H140" i="3" s="1"/>
  <c r="E140" i="3"/>
  <c r="D140" i="3"/>
  <c r="U139" i="3"/>
  <c r="S139" i="3"/>
  <c r="R139" i="3"/>
  <c r="O139" i="3"/>
  <c r="Q139" i="3" s="1"/>
  <c r="N139" i="3"/>
  <c r="M139" i="3"/>
  <c r="J139" i="3"/>
  <c r="L139" i="3" s="1"/>
  <c r="I139" i="3"/>
  <c r="F139" i="3"/>
  <c r="H139" i="3" s="1"/>
  <c r="E139" i="3"/>
  <c r="D139" i="3"/>
  <c r="U138" i="3"/>
  <c r="S138" i="3"/>
  <c r="R138" i="3"/>
  <c r="O138" i="3"/>
  <c r="Q138" i="3" s="1"/>
  <c r="N138" i="3"/>
  <c r="M138" i="3"/>
  <c r="J138" i="3"/>
  <c r="L138" i="3" s="1"/>
  <c r="I138" i="3"/>
  <c r="F138" i="3"/>
  <c r="H138" i="3" s="1"/>
  <c r="E138" i="3"/>
  <c r="D138" i="3"/>
  <c r="R137" i="3"/>
  <c r="N137" i="3"/>
  <c r="M137" i="3"/>
  <c r="S137" i="3" s="1"/>
  <c r="I137" i="3"/>
  <c r="E137" i="3"/>
  <c r="D137" i="3"/>
  <c r="F137" i="3" s="1"/>
  <c r="H137" i="3" s="1"/>
  <c r="B137" i="3"/>
  <c r="U136" i="3"/>
  <c r="S136" i="3"/>
  <c r="R136" i="3"/>
  <c r="Q136" i="3"/>
  <c r="O136" i="3"/>
  <c r="N136" i="3"/>
  <c r="M136" i="3"/>
  <c r="L136" i="3"/>
  <c r="J136" i="3"/>
  <c r="I136" i="3"/>
  <c r="H136" i="3"/>
  <c r="F136" i="3"/>
  <c r="E136" i="3"/>
  <c r="D136" i="3"/>
  <c r="S135" i="3"/>
  <c r="U135" i="3" s="1"/>
  <c r="R135" i="3"/>
  <c r="O135" i="3"/>
  <c r="Q135" i="3" s="1"/>
  <c r="N135" i="3"/>
  <c r="M135" i="3"/>
  <c r="J135" i="3"/>
  <c r="L135" i="3" s="1"/>
  <c r="I135" i="3"/>
  <c r="F135" i="3"/>
  <c r="H135" i="3" s="1"/>
  <c r="E135" i="3"/>
  <c r="D135" i="3"/>
  <c r="S134" i="3"/>
  <c r="U134" i="3" s="1"/>
  <c r="R134" i="3"/>
  <c r="O134" i="3"/>
  <c r="Q134" i="3" s="1"/>
  <c r="N134" i="3"/>
  <c r="M134" i="3"/>
  <c r="J134" i="3"/>
  <c r="L134" i="3" s="1"/>
  <c r="I134" i="3"/>
  <c r="F134" i="3"/>
  <c r="H134" i="3" s="1"/>
  <c r="E134" i="3"/>
  <c r="D134" i="3"/>
  <c r="S133" i="3"/>
  <c r="U133" i="3" s="1"/>
  <c r="R133" i="3"/>
  <c r="O133" i="3"/>
  <c r="Q133" i="3" s="1"/>
  <c r="N133" i="3"/>
  <c r="M133" i="3"/>
  <c r="J133" i="3"/>
  <c r="L133" i="3" s="1"/>
  <c r="I133" i="3"/>
  <c r="F133" i="3"/>
  <c r="H133" i="3" s="1"/>
  <c r="E133" i="3"/>
  <c r="D133" i="3"/>
  <c r="R132" i="3"/>
  <c r="N132" i="3"/>
  <c r="M132" i="3"/>
  <c r="O132" i="3" s="1"/>
  <c r="Q132" i="3" s="1"/>
  <c r="I132" i="3"/>
  <c r="E132" i="3"/>
  <c r="D132" i="3"/>
  <c r="B132" i="3"/>
  <c r="S131" i="3"/>
  <c r="U131" i="3" s="1"/>
  <c r="R131" i="3"/>
  <c r="O131" i="3"/>
  <c r="Q131" i="3" s="1"/>
  <c r="N131" i="3"/>
  <c r="M131" i="3"/>
  <c r="J131" i="3"/>
  <c r="L131" i="3" s="1"/>
  <c r="I131" i="3"/>
  <c r="H131" i="3"/>
  <c r="F131" i="3"/>
  <c r="E131" i="3"/>
  <c r="D131" i="3"/>
  <c r="S130" i="3"/>
  <c r="U130" i="3" s="1"/>
  <c r="R130" i="3"/>
  <c r="O130" i="3"/>
  <c r="Q130" i="3" s="1"/>
  <c r="N130" i="3"/>
  <c r="M130" i="3"/>
  <c r="J130" i="3"/>
  <c r="L130" i="3" s="1"/>
  <c r="I130" i="3"/>
  <c r="F130" i="3"/>
  <c r="H130" i="3" s="1"/>
  <c r="E130" i="3"/>
  <c r="D130" i="3"/>
  <c r="S129" i="3"/>
  <c r="U129" i="3" s="1"/>
  <c r="R129" i="3"/>
  <c r="O129" i="3"/>
  <c r="Q129" i="3" s="1"/>
  <c r="N129" i="3"/>
  <c r="M129" i="3"/>
  <c r="J129" i="3"/>
  <c r="L129" i="3" s="1"/>
  <c r="I129" i="3"/>
  <c r="F129" i="3"/>
  <c r="H129" i="3" s="1"/>
  <c r="E129" i="3"/>
  <c r="D129" i="3"/>
  <c r="S128" i="3"/>
  <c r="U128" i="3" s="1"/>
  <c r="R128" i="3"/>
  <c r="Q128" i="3"/>
  <c r="O128" i="3"/>
  <c r="N128" i="3"/>
  <c r="M128" i="3"/>
  <c r="J128" i="3"/>
  <c r="L128" i="3" s="1"/>
  <c r="I128" i="3"/>
  <c r="H128" i="3"/>
  <c r="F128" i="3"/>
  <c r="E128" i="3"/>
  <c r="D128" i="3"/>
  <c r="R127" i="3"/>
  <c r="N127" i="3"/>
  <c r="M127" i="3"/>
  <c r="I127" i="3"/>
  <c r="E127" i="3"/>
  <c r="D127" i="3"/>
  <c r="B127" i="3"/>
  <c r="S126" i="3"/>
  <c r="U126" i="3" s="1"/>
  <c r="R126" i="3"/>
  <c r="O126" i="3"/>
  <c r="Q126" i="3" s="1"/>
  <c r="N126" i="3"/>
  <c r="M126" i="3"/>
  <c r="J126" i="3"/>
  <c r="L126" i="3" s="1"/>
  <c r="I126" i="3"/>
  <c r="F126" i="3"/>
  <c r="H126" i="3" s="1"/>
  <c r="E126" i="3"/>
  <c r="D126" i="3"/>
  <c r="S125" i="3"/>
  <c r="U125" i="3" s="1"/>
  <c r="R125" i="3"/>
  <c r="Q125" i="3"/>
  <c r="O125" i="3"/>
  <c r="N125" i="3"/>
  <c r="M125" i="3"/>
  <c r="J125" i="3"/>
  <c r="L125" i="3" s="1"/>
  <c r="I125" i="3"/>
  <c r="H125" i="3"/>
  <c r="F125" i="3"/>
  <c r="E125" i="3"/>
  <c r="D125" i="3"/>
  <c r="S124" i="3"/>
  <c r="U124" i="3" s="1"/>
  <c r="R124" i="3"/>
  <c r="O124" i="3"/>
  <c r="Q124" i="3" s="1"/>
  <c r="N124" i="3"/>
  <c r="M124" i="3"/>
  <c r="J124" i="3"/>
  <c r="L124" i="3" s="1"/>
  <c r="I124" i="3"/>
  <c r="F124" i="3"/>
  <c r="H124" i="3" s="1"/>
  <c r="E124" i="3"/>
  <c r="D124" i="3"/>
  <c r="U123" i="3"/>
  <c r="S123" i="3"/>
  <c r="R123" i="3"/>
  <c r="Q123" i="3"/>
  <c r="O123" i="3"/>
  <c r="N123" i="3"/>
  <c r="M123" i="3"/>
  <c r="L123" i="3"/>
  <c r="J123" i="3"/>
  <c r="I123" i="3"/>
  <c r="H123" i="3"/>
  <c r="F123" i="3"/>
  <c r="E123" i="3"/>
  <c r="D123" i="3"/>
  <c r="U122" i="3"/>
  <c r="S122" i="3"/>
  <c r="R122" i="3"/>
  <c r="O122" i="3"/>
  <c r="Q122" i="3" s="1"/>
  <c r="N122" i="3"/>
  <c r="M122" i="3"/>
  <c r="L122" i="3"/>
  <c r="J122" i="3"/>
  <c r="I122" i="3"/>
  <c r="F122" i="3"/>
  <c r="H122" i="3" s="1"/>
  <c r="E122" i="3"/>
  <c r="D122" i="3"/>
  <c r="R121" i="3"/>
  <c r="N121" i="3"/>
  <c r="M121" i="3"/>
  <c r="I121" i="3"/>
  <c r="E121" i="3"/>
  <c r="D121" i="3"/>
  <c r="B121" i="3"/>
  <c r="U120" i="3"/>
  <c r="S120" i="3"/>
  <c r="R120" i="3"/>
  <c r="O120" i="3"/>
  <c r="Q120" i="3" s="1"/>
  <c r="N120" i="3"/>
  <c r="M120" i="3"/>
  <c r="L120" i="3"/>
  <c r="J120" i="3"/>
  <c r="I120" i="3"/>
  <c r="F120" i="3"/>
  <c r="H120" i="3" s="1"/>
  <c r="E120" i="3"/>
  <c r="D120" i="3"/>
  <c r="S119" i="3"/>
  <c r="U119" i="3" s="1"/>
  <c r="R119" i="3"/>
  <c r="Q119" i="3"/>
  <c r="O119" i="3"/>
  <c r="N119" i="3"/>
  <c r="M119" i="3"/>
  <c r="J119" i="3"/>
  <c r="L119" i="3" s="1"/>
  <c r="I119" i="3"/>
  <c r="H119" i="3"/>
  <c r="F119" i="3"/>
  <c r="E119" i="3"/>
  <c r="D119" i="3"/>
  <c r="S118" i="3"/>
  <c r="U118" i="3" s="1"/>
  <c r="R118" i="3"/>
  <c r="O118" i="3"/>
  <c r="Q118" i="3" s="1"/>
  <c r="N118" i="3"/>
  <c r="M118" i="3"/>
  <c r="J118" i="3"/>
  <c r="L118" i="3" s="1"/>
  <c r="I118" i="3"/>
  <c r="F118" i="3"/>
  <c r="H118" i="3" s="1"/>
  <c r="E118" i="3"/>
  <c r="D118" i="3"/>
  <c r="S117" i="3"/>
  <c r="U117" i="3" s="1"/>
  <c r="R117" i="3"/>
  <c r="Q117" i="3"/>
  <c r="O117" i="3"/>
  <c r="N117" i="3"/>
  <c r="M117" i="3"/>
  <c r="J117" i="3"/>
  <c r="L117" i="3" s="1"/>
  <c r="I117" i="3"/>
  <c r="H117" i="3"/>
  <c r="F117" i="3"/>
  <c r="E117" i="3"/>
  <c r="D117" i="3"/>
  <c r="S116" i="3"/>
  <c r="U116" i="3" s="1"/>
  <c r="R116" i="3"/>
  <c r="O116" i="3"/>
  <c r="Q116" i="3" s="1"/>
  <c r="N116" i="3"/>
  <c r="M116" i="3"/>
  <c r="J116" i="3"/>
  <c r="L116" i="3" s="1"/>
  <c r="I116" i="3"/>
  <c r="F116" i="3"/>
  <c r="H116" i="3" s="1"/>
  <c r="E116" i="3"/>
  <c r="D116" i="3"/>
  <c r="R115" i="3"/>
  <c r="N115" i="3"/>
  <c r="M115" i="3"/>
  <c r="I115" i="3"/>
  <c r="E115" i="3"/>
  <c r="B115" i="3"/>
  <c r="S114" i="3"/>
  <c r="U114" i="3" s="1"/>
  <c r="R114" i="3"/>
  <c r="O114" i="3"/>
  <c r="Q114" i="3" s="1"/>
  <c r="N114" i="3"/>
  <c r="M114" i="3"/>
  <c r="J114" i="3"/>
  <c r="L114" i="3" s="1"/>
  <c r="I114" i="3"/>
  <c r="F114" i="3"/>
  <c r="H114" i="3" s="1"/>
  <c r="E114" i="3"/>
  <c r="D114" i="3"/>
  <c r="D115" i="3" s="1"/>
  <c r="R112" i="3"/>
  <c r="N112" i="3"/>
  <c r="Q112" i="3" s="1"/>
  <c r="M112" i="3"/>
  <c r="I112" i="3"/>
  <c r="E112" i="3"/>
  <c r="H112" i="3" s="1"/>
  <c r="D112" i="3"/>
  <c r="B112" i="3"/>
  <c r="U111" i="3"/>
  <c r="S111" i="3"/>
  <c r="R111" i="3"/>
  <c r="Q111" i="3"/>
  <c r="O111" i="3"/>
  <c r="N111" i="3"/>
  <c r="M111" i="3"/>
  <c r="L111" i="3"/>
  <c r="J111" i="3"/>
  <c r="I111" i="3"/>
  <c r="H111" i="3"/>
  <c r="F111" i="3"/>
  <c r="E111" i="3"/>
  <c r="D111" i="3"/>
  <c r="U110" i="3"/>
  <c r="S110" i="3"/>
  <c r="R110" i="3"/>
  <c r="Q110" i="3"/>
  <c r="O110" i="3"/>
  <c r="N110" i="3"/>
  <c r="M110" i="3"/>
  <c r="L110" i="3"/>
  <c r="J110" i="3"/>
  <c r="I110" i="3"/>
  <c r="H110" i="3"/>
  <c r="F110" i="3"/>
  <c r="E110" i="3"/>
  <c r="D110" i="3"/>
  <c r="U109" i="3"/>
  <c r="S109" i="3"/>
  <c r="R109" i="3"/>
  <c r="Q109" i="3"/>
  <c r="O109" i="3"/>
  <c r="N109" i="3"/>
  <c r="M109" i="3"/>
  <c r="L109" i="3"/>
  <c r="J109" i="3"/>
  <c r="I109" i="3"/>
  <c r="H109" i="3"/>
  <c r="F109" i="3"/>
  <c r="E109" i="3"/>
  <c r="D109" i="3"/>
  <c r="U108" i="3"/>
  <c r="S108" i="3"/>
  <c r="R108" i="3"/>
  <c r="Q108" i="3"/>
  <c r="O108" i="3"/>
  <c r="N108" i="3"/>
  <c r="M108" i="3"/>
  <c r="L108" i="3"/>
  <c r="J108" i="3"/>
  <c r="I108" i="3"/>
  <c r="H108" i="3"/>
  <c r="F108" i="3"/>
  <c r="E108" i="3"/>
  <c r="D108" i="3"/>
  <c r="U107" i="3"/>
  <c r="S107" i="3"/>
  <c r="R107" i="3"/>
  <c r="Q107" i="3"/>
  <c r="O107" i="3"/>
  <c r="N107" i="3"/>
  <c r="M107" i="3"/>
  <c r="L107" i="3"/>
  <c r="J107" i="3"/>
  <c r="I107" i="3"/>
  <c r="H107" i="3"/>
  <c r="F107" i="3"/>
  <c r="E107" i="3"/>
  <c r="D107" i="3"/>
  <c r="U106" i="3"/>
  <c r="S106" i="3"/>
  <c r="R106" i="3"/>
  <c r="Q106" i="3"/>
  <c r="O106" i="3"/>
  <c r="N106" i="3"/>
  <c r="M106" i="3"/>
  <c r="L106" i="3"/>
  <c r="J106" i="3"/>
  <c r="I106" i="3"/>
  <c r="H106" i="3"/>
  <c r="F106" i="3"/>
  <c r="E106" i="3"/>
  <c r="D106" i="3"/>
  <c r="U105" i="3"/>
  <c r="S105" i="3"/>
  <c r="R105" i="3"/>
  <c r="Q105" i="3"/>
  <c r="O105" i="3"/>
  <c r="N105" i="3"/>
  <c r="M105" i="3"/>
  <c r="L105" i="3"/>
  <c r="J105" i="3"/>
  <c r="I105" i="3"/>
  <c r="H105" i="3"/>
  <c r="F105" i="3"/>
  <c r="E105" i="3"/>
  <c r="D105" i="3"/>
  <c r="U104" i="3"/>
  <c r="S104" i="3"/>
  <c r="R104" i="3"/>
  <c r="Q104" i="3"/>
  <c r="O104" i="3"/>
  <c r="N104" i="3"/>
  <c r="M104" i="3"/>
  <c r="L104" i="3"/>
  <c r="J104" i="3"/>
  <c r="I104" i="3"/>
  <c r="H104" i="3"/>
  <c r="F104" i="3"/>
  <c r="E104" i="3"/>
  <c r="D104" i="3"/>
  <c r="S103" i="3"/>
  <c r="U103" i="3" s="1"/>
  <c r="R103" i="3"/>
  <c r="Q103" i="3"/>
  <c r="O103" i="3"/>
  <c r="N103" i="3"/>
  <c r="M103" i="3"/>
  <c r="J103" i="3"/>
  <c r="L103" i="3" s="1"/>
  <c r="I103" i="3"/>
  <c r="H103" i="3"/>
  <c r="F103" i="3"/>
  <c r="E103" i="3"/>
  <c r="D103" i="3"/>
  <c r="U102" i="3"/>
  <c r="S102" i="3"/>
  <c r="R102" i="3"/>
  <c r="Q102" i="3"/>
  <c r="O102" i="3"/>
  <c r="N102" i="3"/>
  <c r="M102" i="3"/>
  <c r="L102" i="3"/>
  <c r="J102" i="3"/>
  <c r="I102" i="3"/>
  <c r="H102" i="3"/>
  <c r="F102" i="3"/>
  <c r="E102" i="3"/>
  <c r="D102" i="3"/>
  <c r="U101" i="3"/>
  <c r="S101" i="3"/>
  <c r="R101" i="3"/>
  <c r="Q101" i="3"/>
  <c r="O101" i="3"/>
  <c r="N101" i="3"/>
  <c r="M101" i="3"/>
  <c r="L101" i="3"/>
  <c r="J101" i="3"/>
  <c r="I101" i="3"/>
  <c r="H101" i="3"/>
  <c r="F101" i="3"/>
  <c r="E101" i="3"/>
  <c r="D101" i="3"/>
  <c r="R100" i="3"/>
  <c r="N100" i="3"/>
  <c r="M100" i="3"/>
  <c r="S100" i="3" s="1"/>
  <c r="U100" i="3" s="1"/>
  <c r="I100" i="3"/>
  <c r="E100" i="3"/>
  <c r="D100" i="3"/>
  <c r="B100" i="3"/>
  <c r="U99" i="3"/>
  <c r="S99" i="3"/>
  <c r="R99" i="3"/>
  <c r="O99" i="3"/>
  <c r="Q99" i="3" s="1"/>
  <c r="N99" i="3"/>
  <c r="M99" i="3"/>
  <c r="L99" i="3"/>
  <c r="J99" i="3"/>
  <c r="I99" i="3"/>
  <c r="F99" i="3"/>
  <c r="H99" i="3" s="1"/>
  <c r="E99" i="3"/>
  <c r="D99" i="3"/>
  <c r="U98" i="3"/>
  <c r="S98" i="3"/>
  <c r="R98" i="3"/>
  <c r="O98" i="3"/>
  <c r="Q98" i="3" s="1"/>
  <c r="N98" i="3"/>
  <c r="M98" i="3"/>
  <c r="L98" i="3"/>
  <c r="J98" i="3"/>
  <c r="I98" i="3"/>
  <c r="F98" i="3"/>
  <c r="H98" i="3" s="1"/>
  <c r="E98" i="3"/>
  <c r="D98" i="3"/>
  <c r="S97" i="3"/>
  <c r="U97" i="3" s="1"/>
  <c r="R97" i="3"/>
  <c r="O97" i="3"/>
  <c r="Q97" i="3" s="1"/>
  <c r="N97" i="3"/>
  <c r="M97" i="3"/>
  <c r="J97" i="3"/>
  <c r="L97" i="3" s="1"/>
  <c r="I97" i="3"/>
  <c r="F97" i="3"/>
  <c r="H97" i="3" s="1"/>
  <c r="E97" i="3"/>
  <c r="D97" i="3"/>
  <c r="U96" i="3"/>
  <c r="S96" i="3"/>
  <c r="R96" i="3"/>
  <c r="Q96" i="3"/>
  <c r="O96" i="3"/>
  <c r="N96" i="3"/>
  <c r="M96" i="3"/>
  <c r="L96" i="3"/>
  <c r="J96" i="3"/>
  <c r="I96" i="3"/>
  <c r="H96" i="3"/>
  <c r="F96" i="3"/>
  <c r="E96" i="3"/>
  <c r="D96" i="3"/>
  <c r="S95" i="3"/>
  <c r="U95" i="3" s="1"/>
  <c r="R95" i="3"/>
  <c r="O95" i="3"/>
  <c r="Q95" i="3" s="1"/>
  <c r="N95" i="3"/>
  <c r="M95" i="3"/>
  <c r="J95" i="3"/>
  <c r="L95" i="3" s="1"/>
  <c r="I95" i="3"/>
  <c r="F95" i="3"/>
  <c r="H95" i="3" s="1"/>
  <c r="E95" i="3"/>
  <c r="D95" i="3"/>
  <c r="S94" i="3"/>
  <c r="U94" i="3" s="1"/>
  <c r="R94" i="3"/>
  <c r="O94" i="3"/>
  <c r="Q94" i="3" s="1"/>
  <c r="N94" i="3"/>
  <c r="M94" i="3"/>
  <c r="J94" i="3"/>
  <c r="L94" i="3" s="1"/>
  <c r="I94" i="3"/>
  <c r="F94" i="3"/>
  <c r="H94" i="3" s="1"/>
  <c r="E94" i="3"/>
  <c r="D94" i="3"/>
  <c r="S93" i="3"/>
  <c r="U93" i="3" s="1"/>
  <c r="R93" i="3"/>
  <c r="Q93" i="3"/>
  <c r="O93" i="3"/>
  <c r="N93" i="3"/>
  <c r="M93" i="3"/>
  <c r="J93" i="3"/>
  <c r="L93" i="3" s="1"/>
  <c r="I93" i="3"/>
  <c r="H93" i="3"/>
  <c r="F93" i="3"/>
  <c r="E93" i="3"/>
  <c r="D93" i="3"/>
  <c r="U92" i="3"/>
  <c r="S92" i="3"/>
  <c r="R92" i="3"/>
  <c r="Q92" i="3"/>
  <c r="O92" i="3"/>
  <c r="N92" i="3"/>
  <c r="M92" i="3"/>
  <c r="L92" i="3"/>
  <c r="J92" i="3"/>
  <c r="I92" i="3"/>
  <c r="H92" i="3"/>
  <c r="F92" i="3"/>
  <c r="E92" i="3"/>
  <c r="D92" i="3"/>
  <c r="S91" i="3"/>
  <c r="U91" i="3" s="1"/>
  <c r="R91" i="3"/>
  <c r="O91" i="3"/>
  <c r="Q91" i="3" s="1"/>
  <c r="N91" i="3"/>
  <c r="M91" i="3"/>
  <c r="J91" i="3"/>
  <c r="L91" i="3" s="1"/>
  <c r="I91" i="3"/>
  <c r="F91" i="3"/>
  <c r="H91" i="3" s="1"/>
  <c r="E91" i="3"/>
  <c r="D91" i="3"/>
  <c r="S90" i="3"/>
  <c r="U90" i="3" s="1"/>
  <c r="R90" i="3"/>
  <c r="Q90" i="3"/>
  <c r="O90" i="3"/>
  <c r="N90" i="3"/>
  <c r="M90" i="3"/>
  <c r="J90" i="3"/>
  <c r="L90" i="3" s="1"/>
  <c r="I90" i="3"/>
  <c r="H90" i="3"/>
  <c r="F90" i="3"/>
  <c r="E90" i="3"/>
  <c r="D90" i="3"/>
  <c r="R89" i="3"/>
  <c r="N89" i="3"/>
  <c r="Q89" i="3" s="1"/>
  <c r="M89" i="3"/>
  <c r="I89" i="3"/>
  <c r="E89" i="3"/>
  <c r="H89" i="3" s="1"/>
  <c r="D89" i="3"/>
  <c r="B89" i="3"/>
  <c r="U88" i="3"/>
  <c r="S88" i="3"/>
  <c r="R88" i="3"/>
  <c r="Q88" i="3"/>
  <c r="O88" i="3"/>
  <c r="N88" i="3"/>
  <c r="M88" i="3"/>
  <c r="L88" i="3"/>
  <c r="J88" i="3"/>
  <c r="I88" i="3"/>
  <c r="H88" i="3"/>
  <c r="F88" i="3"/>
  <c r="E88" i="3"/>
  <c r="D88" i="3"/>
  <c r="S87" i="3"/>
  <c r="U87" i="3" s="1"/>
  <c r="R87" i="3"/>
  <c r="Q87" i="3"/>
  <c r="O87" i="3"/>
  <c r="N87" i="3"/>
  <c r="M87" i="3"/>
  <c r="J87" i="3"/>
  <c r="L87" i="3" s="1"/>
  <c r="I87" i="3"/>
  <c r="H87" i="3"/>
  <c r="F87" i="3"/>
  <c r="E87" i="3"/>
  <c r="D87" i="3"/>
  <c r="R86" i="3"/>
  <c r="N86" i="3"/>
  <c r="M86" i="3"/>
  <c r="I86" i="3"/>
  <c r="E86" i="3"/>
  <c r="D86" i="3"/>
  <c r="B86" i="3"/>
  <c r="S85" i="3"/>
  <c r="U85" i="3" s="1"/>
  <c r="R85" i="3"/>
  <c r="O85" i="3"/>
  <c r="Q85" i="3" s="1"/>
  <c r="N85" i="3"/>
  <c r="M85" i="3"/>
  <c r="J85" i="3"/>
  <c r="L85" i="3" s="1"/>
  <c r="I85" i="3"/>
  <c r="F85" i="3"/>
  <c r="H85" i="3" s="1"/>
  <c r="E85" i="3"/>
  <c r="D85" i="3"/>
  <c r="S84" i="3"/>
  <c r="U84" i="3" s="1"/>
  <c r="R84" i="3"/>
  <c r="O84" i="3"/>
  <c r="Q84" i="3" s="1"/>
  <c r="N84" i="3"/>
  <c r="M84" i="3"/>
  <c r="J84" i="3"/>
  <c r="L84" i="3" s="1"/>
  <c r="I84" i="3"/>
  <c r="F84" i="3"/>
  <c r="H84" i="3" s="1"/>
  <c r="E84" i="3"/>
  <c r="D84" i="3"/>
  <c r="R83" i="3"/>
  <c r="N83" i="3"/>
  <c r="M83" i="3"/>
  <c r="I83" i="3"/>
  <c r="E83" i="3"/>
  <c r="D83" i="3"/>
  <c r="B83" i="3"/>
  <c r="U82" i="3"/>
  <c r="S82" i="3"/>
  <c r="R82" i="3"/>
  <c r="Q82" i="3"/>
  <c r="O82" i="3"/>
  <c r="N82" i="3"/>
  <c r="M82" i="3"/>
  <c r="L82" i="3"/>
  <c r="J82" i="3"/>
  <c r="I82" i="3"/>
  <c r="H82" i="3"/>
  <c r="F82" i="3"/>
  <c r="E82" i="3"/>
  <c r="D82" i="3"/>
  <c r="S81" i="3"/>
  <c r="U81" i="3" s="1"/>
  <c r="R81" i="3"/>
  <c r="O81" i="3"/>
  <c r="Q81" i="3" s="1"/>
  <c r="N81" i="3"/>
  <c r="M81" i="3"/>
  <c r="L81" i="3"/>
  <c r="J81" i="3"/>
  <c r="I81" i="3"/>
  <c r="F81" i="3"/>
  <c r="H81" i="3" s="1"/>
  <c r="E81" i="3"/>
  <c r="D81" i="3"/>
  <c r="S80" i="3"/>
  <c r="U80" i="3" s="1"/>
  <c r="R80" i="3"/>
  <c r="O80" i="3"/>
  <c r="Q80" i="3" s="1"/>
  <c r="N80" i="3"/>
  <c r="M80" i="3"/>
  <c r="L80" i="3"/>
  <c r="J80" i="3"/>
  <c r="I80" i="3"/>
  <c r="F80" i="3"/>
  <c r="H80" i="3" s="1"/>
  <c r="E80" i="3"/>
  <c r="D80" i="3"/>
  <c r="R79" i="3"/>
  <c r="N79" i="3"/>
  <c r="M79" i="3"/>
  <c r="I79" i="3"/>
  <c r="E79" i="3"/>
  <c r="D79" i="3"/>
  <c r="J79" i="3" s="1"/>
  <c r="L79" i="3" s="1"/>
  <c r="B79" i="3"/>
  <c r="U78" i="3"/>
  <c r="S78" i="3"/>
  <c r="R78" i="3"/>
  <c r="O78" i="3"/>
  <c r="Q78" i="3" s="1"/>
  <c r="N78" i="3"/>
  <c r="M78" i="3"/>
  <c r="L78" i="3"/>
  <c r="J78" i="3"/>
  <c r="I78" i="3"/>
  <c r="F78" i="3"/>
  <c r="H78" i="3" s="1"/>
  <c r="E78" i="3"/>
  <c r="D78" i="3"/>
  <c r="S77" i="3"/>
  <c r="U77" i="3" s="1"/>
  <c r="R77" i="3"/>
  <c r="O77" i="3"/>
  <c r="Q77" i="3" s="1"/>
  <c r="N77" i="3"/>
  <c r="M77" i="3"/>
  <c r="J77" i="3"/>
  <c r="L77" i="3" s="1"/>
  <c r="I77" i="3"/>
  <c r="F77" i="3"/>
  <c r="H77" i="3" s="1"/>
  <c r="E77" i="3"/>
  <c r="D77" i="3"/>
  <c r="S76" i="3"/>
  <c r="U76" i="3" s="1"/>
  <c r="R76" i="3"/>
  <c r="Q76" i="3"/>
  <c r="O76" i="3"/>
  <c r="N76" i="3"/>
  <c r="M76" i="3"/>
  <c r="J76" i="3"/>
  <c r="L76" i="3" s="1"/>
  <c r="I76" i="3"/>
  <c r="F76" i="3"/>
  <c r="H76" i="3" s="1"/>
  <c r="E76" i="3"/>
  <c r="D76" i="3"/>
  <c r="S75" i="3"/>
  <c r="U75" i="3" s="1"/>
  <c r="R75" i="3"/>
  <c r="O75" i="3"/>
  <c r="Q75" i="3" s="1"/>
  <c r="N75" i="3"/>
  <c r="M75" i="3"/>
  <c r="J75" i="3"/>
  <c r="L75" i="3" s="1"/>
  <c r="I75" i="3"/>
  <c r="F75" i="3"/>
  <c r="H75" i="3" s="1"/>
  <c r="E75" i="3"/>
  <c r="D75" i="3"/>
  <c r="S74" i="3"/>
  <c r="U74" i="3" s="1"/>
  <c r="R74" i="3"/>
  <c r="O74" i="3"/>
  <c r="Q74" i="3" s="1"/>
  <c r="N74" i="3"/>
  <c r="M74" i="3"/>
  <c r="L74" i="3"/>
  <c r="J74" i="3"/>
  <c r="I74" i="3"/>
  <c r="F74" i="3"/>
  <c r="H74" i="3" s="1"/>
  <c r="E74" i="3"/>
  <c r="D74" i="3"/>
  <c r="S73" i="3"/>
  <c r="U73" i="3" s="1"/>
  <c r="R73" i="3"/>
  <c r="Q73" i="3"/>
  <c r="O73" i="3"/>
  <c r="N73" i="3"/>
  <c r="M73" i="3"/>
  <c r="J73" i="3"/>
  <c r="L73" i="3" s="1"/>
  <c r="I73" i="3"/>
  <c r="F73" i="3"/>
  <c r="H73" i="3" s="1"/>
  <c r="E73" i="3"/>
  <c r="D73" i="3"/>
  <c r="S72" i="3"/>
  <c r="U72" i="3" s="1"/>
  <c r="R72" i="3"/>
  <c r="O72" i="3"/>
  <c r="Q72" i="3" s="1"/>
  <c r="N72" i="3"/>
  <c r="M72" i="3"/>
  <c r="J72" i="3"/>
  <c r="L72" i="3" s="1"/>
  <c r="I72" i="3"/>
  <c r="F72" i="3"/>
  <c r="H72" i="3" s="1"/>
  <c r="E72" i="3"/>
  <c r="D72" i="3"/>
  <c r="S71" i="3"/>
  <c r="U71" i="3" s="1"/>
  <c r="R71" i="3"/>
  <c r="O71" i="3"/>
  <c r="Q71" i="3" s="1"/>
  <c r="N71" i="3"/>
  <c r="M71" i="3"/>
  <c r="J71" i="3"/>
  <c r="L71" i="3" s="1"/>
  <c r="I71" i="3"/>
  <c r="F71" i="3"/>
  <c r="H71" i="3" s="1"/>
  <c r="E71" i="3"/>
  <c r="D71" i="3"/>
  <c r="S70" i="3"/>
  <c r="U70" i="3" s="1"/>
  <c r="R70" i="3"/>
  <c r="O70" i="3"/>
  <c r="Q70" i="3" s="1"/>
  <c r="N70" i="3"/>
  <c r="M70" i="3"/>
  <c r="J70" i="3"/>
  <c r="L70" i="3" s="1"/>
  <c r="I70" i="3"/>
  <c r="F70" i="3"/>
  <c r="H70" i="3" s="1"/>
  <c r="E70" i="3"/>
  <c r="D70" i="3"/>
  <c r="U69" i="3"/>
  <c r="S69" i="3"/>
  <c r="R69" i="3"/>
  <c r="Q69" i="3"/>
  <c r="O69" i="3"/>
  <c r="N69" i="3"/>
  <c r="M69" i="3"/>
  <c r="L69" i="3"/>
  <c r="J69" i="3"/>
  <c r="I69" i="3"/>
  <c r="H69" i="3"/>
  <c r="F69" i="3"/>
  <c r="E69" i="3"/>
  <c r="D69" i="3"/>
  <c r="S68" i="3"/>
  <c r="U68" i="3" s="1"/>
  <c r="R68" i="3"/>
  <c r="O68" i="3"/>
  <c r="Q68" i="3" s="1"/>
  <c r="N68" i="3"/>
  <c r="M68" i="3"/>
  <c r="J68" i="3"/>
  <c r="L68" i="3" s="1"/>
  <c r="I68" i="3"/>
  <c r="F68" i="3"/>
  <c r="H68" i="3" s="1"/>
  <c r="E68" i="3"/>
  <c r="D68" i="3"/>
  <c r="R67" i="3"/>
  <c r="N67" i="3"/>
  <c r="M67" i="3"/>
  <c r="S67" i="3" s="1"/>
  <c r="I67" i="3"/>
  <c r="E67" i="3"/>
  <c r="D67" i="3"/>
  <c r="B67" i="3"/>
  <c r="S66" i="3"/>
  <c r="U66" i="3" s="1"/>
  <c r="R66" i="3"/>
  <c r="Q66" i="3"/>
  <c r="O66" i="3"/>
  <c r="N66" i="3"/>
  <c r="M66" i="3"/>
  <c r="J66" i="3"/>
  <c r="L66" i="3" s="1"/>
  <c r="I66" i="3"/>
  <c r="H66" i="3"/>
  <c r="F66" i="3"/>
  <c r="E66" i="3"/>
  <c r="D66" i="3"/>
  <c r="U65" i="3"/>
  <c r="S65" i="3"/>
  <c r="R65" i="3"/>
  <c r="Q65" i="3"/>
  <c r="O65" i="3"/>
  <c r="N65" i="3"/>
  <c r="M65" i="3"/>
  <c r="L65" i="3"/>
  <c r="J65" i="3"/>
  <c r="I65" i="3"/>
  <c r="H65" i="3"/>
  <c r="F65" i="3"/>
  <c r="E65" i="3"/>
  <c r="D65" i="3"/>
  <c r="S64" i="3"/>
  <c r="U64" i="3" s="1"/>
  <c r="R64" i="3"/>
  <c r="Q64" i="3"/>
  <c r="O64" i="3"/>
  <c r="N64" i="3"/>
  <c r="M64" i="3"/>
  <c r="J64" i="3"/>
  <c r="L64" i="3" s="1"/>
  <c r="I64" i="3"/>
  <c r="H64" i="3"/>
  <c r="F64" i="3"/>
  <c r="E64" i="3"/>
  <c r="D64" i="3"/>
  <c r="U63" i="3"/>
  <c r="S63" i="3"/>
  <c r="R63" i="3"/>
  <c r="Q63" i="3"/>
  <c r="O63" i="3"/>
  <c r="N63" i="3"/>
  <c r="M63" i="3"/>
  <c r="L63" i="3"/>
  <c r="J63" i="3"/>
  <c r="I63" i="3"/>
  <c r="H63" i="3"/>
  <c r="F63" i="3"/>
  <c r="E63" i="3"/>
  <c r="D63" i="3"/>
  <c r="S62" i="3"/>
  <c r="U62" i="3" s="1"/>
  <c r="R62" i="3"/>
  <c r="Q62" i="3"/>
  <c r="O62" i="3"/>
  <c r="N62" i="3"/>
  <c r="M62" i="3"/>
  <c r="L62" i="3"/>
  <c r="J62" i="3"/>
  <c r="I62" i="3"/>
  <c r="H62" i="3"/>
  <c r="F62" i="3"/>
  <c r="E62" i="3"/>
  <c r="D62" i="3"/>
  <c r="U61" i="3"/>
  <c r="S61" i="3"/>
  <c r="R61" i="3"/>
  <c r="Q61" i="3"/>
  <c r="O61" i="3"/>
  <c r="N61" i="3"/>
  <c r="M61" i="3"/>
  <c r="L61" i="3"/>
  <c r="J61" i="3"/>
  <c r="I61" i="3"/>
  <c r="H61" i="3"/>
  <c r="F61" i="3"/>
  <c r="E61" i="3"/>
  <c r="D61" i="3"/>
  <c r="S60" i="3"/>
  <c r="U60" i="3" s="1"/>
  <c r="R60" i="3"/>
  <c r="O60" i="3"/>
  <c r="Q60" i="3" s="1"/>
  <c r="N60" i="3"/>
  <c r="M60" i="3"/>
  <c r="J60" i="3"/>
  <c r="L60" i="3" s="1"/>
  <c r="I60" i="3"/>
  <c r="F60" i="3"/>
  <c r="H60" i="3" s="1"/>
  <c r="E60" i="3"/>
  <c r="D60" i="3"/>
  <c r="S59" i="3"/>
  <c r="U59" i="3" s="1"/>
  <c r="R59" i="3"/>
  <c r="O59" i="3"/>
  <c r="Q59" i="3" s="1"/>
  <c r="N59" i="3"/>
  <c r="M59" i="3"/>
  <c r="J59" i="3"/>
  <c r="L59" i="3" s="1"/>
  <c r="I59" i="3"/>
  <c r="F59" i="3"/>
  <c r="H59" i="3" s="1"/>
  <c r="E59" i="3"/>
  <c r="D59" i="3"/>
  <c r="U58" i="3"/>
  <c r="S58" i="3"/>
  <c r="R58" i="3"/>
  <c r="Q58" i="3"/>
  <c r="O58" i="3"/>
  <c r="N58" i="3"/>
  <c r="M58" i="3"/>
  <c r="J58" i="3"/>
  <c r="L58" i="3" s="1"/>
  <c r="I58" i="3"/>
  <c r="H58" i="3"/>
  <c r="F58" i="3"/>
  <c r="E58" i="3"/>
  <c r="D58" i="3"/>
  <c r="U57" i="3"/>
  <c r="S57" i="3"/>
  <c r="R57" i="3"/>
  <c r="Q57" i="3"/>
  <c r="O57" i="3"/>
  <c r="N57" i="3"/>
  <c r="M57" i="3"/>
  <c r="L57" i="3"/>
  <c r="J57" i="3"/>
  <c r="I57" i="3"/>
  <c r="H57" i="3"/>
  <c r="F57" i="3"/>
  <c r="E57" i="3"/>
  <c r="D57" i="3"/>
  <c r="S56" i="3"/>
  <c r="U56" i="3" s="1"/>
  <c r="R56" i="3"/>
  <c r="O56" i="3"/>
  <c r="Q56" i="3" s="1"/>
  <c r="N56" i="3"/>
  <c r="M56" i="3"/>
  <c r="J56" i="3"/>
  <c r="L56" i="3" s="1"/>
  <c r="I56" i="3"/>
  <c r="F56" i="3"/>
  <c r="H56" i="3" s="1"/>
  <c r="E56" i="3"/>
  <c r="D56" i="3"/>
  <c r="S55" i="3"/>
  <c r="U55" i="3" s="1"/>
  <c r="R55" i="3"/>
  <c r="Q55" i="3"/>
  <c r="O55" i="3"/>
  <c r="N55" i="3"/>
  <c r="M55" i="3"/>
  <c r="J55" i="3"/>
  <c r="L55" i="3" s="1"/>
  <c r="I55" i="3"/>
  <c r="H55" i="3"/>
  <c r="F55" i="3"/>
  <c r="E55" i="3"/>
  <c r="D55" i="3"/>
  <c r="S54" i="3"/>
  <c r="U54" i="3" s="1"/>
  <c r="R54" i="3"/>
  <c r="O54" i="3"/>
  <c r="Q54" i="3" s="1"/>
  <c r="N54" i="3"/>
  <c r="M54" i="3"/>
  <c r="J54" i="3"/>
  <c r="L54" i="3" s="1"/>
  <c r="I54" i="3"/>
  <c r="F54" i="3"/>
  <c r="H54" i="3" s="1"/>
  <c r="E54" i="3"/>
  <c r="D54" i="3"/>
  <c r="U53" i="3"/>
  <c r="S53" i="3"/>
  <c r="R53" i="3"/>
  <c r="Q53" i="3"/>
  <c r="O53" i="3"/>
  <c r="N53" i="3"/>
  <c r="M53" i="3"/>
  <c r="L53" i="3"/>
  <c r="J53" i="3"/>
  <c r="I53" i="3"/>
  <c r="H53" i="3"/>
  <c r="F53" i="3"/>
  <c r="E53" i="3"/>
  <c r="D53" i="3"/>
  <c r="S52" i="3"/>
  <c r="U52" i="3" s="1"/>
  <c r="R52" i="3"/>
  <c r="O52" i="3"/>
  <c r="Q52" i="3" s="1"/>
  <c r="N52" i="3"/>
  <c r="M52" i="3"/>
  <c r="J52" i="3"/>
  <c r="L52" i="3" s="1"/>
  <c r="I52" i="3"/>
  <c r="F52" i="3"/>
  <c r="H52" i="3" s="1"/>
  <c r="E52" i="3"/>
  <c r="D52" i="3"/>
  <c r="N51" i="3"/>
  <c r="R50" i="3"/>
  <c r="R51" i="3" s="1"/>
  <c r="N50" i="3"/>
  <c r="M50" i="3"/>
  <c r="I50" i="3"/>
  <c r="I51" i="3" s="1"/>
  <c r="E50" i="3"/>
  <c r="E51" i="3" s="1"/>
  <c r="D50" i="3"/>
  <c r="J50" i="3" s="1"/>
  <c r="L50" i="3" s="1"/>
  <c r="B50" i="3"/>
  <c r="S49" i="3"/>
  <c r="U49" i="3" s="1"/>
  <c r="R49" i="3"/>
  <c r="Q49" i="3"/>
  <c r="O49" i="3"/>
  <c r="N49" i="3"/>
  <c r="M49" i="3"/>
  <c r="L49" i="3"/>
  <c r="J49" i="3"/>
  <c r="I49" i="3"/>
  <c r="H49" i="3"/>
  <c r="F49" i="3"/>
  <c r="E49" i="3"/>
  <c r="D49" i="3"/>
  <c r="S48" i="3"/>
  <c r="U48" i="3" s="1"/>
  <c r="R48" i="3"/>
  <c r="Q48" i="3"/>
  <c r="O48" i="3"/>
  <c r="N48" i="3"/>
  <c r="M48" i="3"/>
  <c r="J48" i="3"/>
  <c r="L48" i="3" s="1"/>
  <c r="I48" i="3"/>
  <c r="H48" i="3"/>
  <c r="F48" i="3"/>
  <c r="E48" i="3"/>
  <c r="D48" i="3"/>
  <c r="S47" i="3"/>
  <c r="U47" i="3" s="1"/>
  <c r="R47" i="3"/>
  <c r="O47" i="3"/>
  <c r="Q47" i="3" s="1"/>
  <c r="N47" i="3"/>
  <c r="M47" i="3"/>
  <c r="J47" i="3"/>
  <c r="L47" i="3" s="1"/>
  <c r="I47" i="3"/>
  <c r="F47" i="3"/>
  <c r="H47" i="3" s="1"/>
  <c r="E47" i="3"/>
  <c r="D47" i="3"/>
  <c r="R43" i="3"/>
  <c r="N43" i="3"/>
  <c r="M43" i="3"/>
  <c r="I43" i="3"/>
  <c r="E43" i="3"/>
  <c r="D43" i="3"/>
  <c r="J6" i="1" s="1"/>
  <c r="B43" i="3"/>
  <c r="S42" i="3"/>
  <c r="U42" i="3" s="1"/>
  <c r="R42" i="3"/>
  <c r="Q42" i="3"/>
  <c r="O42" i="3"/>
  <c r="N42" i="3"/>
  <c r="M42" i="3"/>
  <c r="J42" i="3"/>
  <c r="L42" i="3" s="1"/>
  <c r="I42" i="3"/>
  <c r="H42" i="3"/>
  <c r="F42" i="3"/>
  <c r="E42" i="3"/>
  <c r="D42" i="3"/>
  <c r="S41" i="3"/>
  <c r="U41" i="3" s="1"/>
  <c r="R41" i="3"/>
  <c r="O41" i="3"/>
  <c r="Q41" i="3" s="1"/>
  <c r="N41" i="3"/>
  <c r="M41" i="3"/>
  <c r="J41" i="3"/>
  <c r="L41" i="3" s="1"/>
  <c r="I41" i="3"/>
  <c r="F41" i="3"/>
  <c r="H41" i="3" s="1"/>
  <c r="E41" i="3"/>
  <c r="D41" i="3"/>
  <c r="S40" i="3"/>
  <c r="U40" i="3" s="1"/>
  <c r="R40" i="3"/>
  <c r="O40" i="3"/>
  <c r="Q40" i="3" s="1"/>
  <c r="N40" i="3"/>
  <c r="M40" i="3"/>
  <c r="J40" i="3"/>
  <c r="L40" i="3" s="1"/>
  <c r="I40" i="3"/>
  <c r="F40" i="3"/>
  <c r="H40" i="3" s="1"/>
  <c r="E40" i="3"/>
  <c r="D40" i="3"/>
  <c r="S39" i="3"/>
  <c r="U39" i="3" s="1"/>
  <c r="R39" i="3"/>
  <c r="O39" i="3"/>
  <c r="Q39" i="3" s="1"/>
  <c r="N39" i="3"/>
  <c r="M39" i="3"/>
  <c r="J39" i="3"/>
  <c r="L39" i="3" s="1"/>
  <c r="I39" i="3"/>
  <c r="H39" i="3"/>
  <c r="F39" i="3"/>
  <c r="E39" i="3"/>
  <c r="D39" i="3"/>
  <c r="R38" i="3"/>
  <c r="N38" i="3"/>
  <c r="M38" i="3"/>
  <c r="I38" i="3"/>
  <c r="E38" i="3"/>
  <c r="D38" i="3"/>
  <c r="C35" i="10" s="1"/>
  <c r="B38" i="3"/>
  <c r="U37" i="3"/>
  <c r="S37" i="3"/>
  <c r="R37" i="3"/>
  <c r="O37" i="3"/>
  <c r="Q37" i="3" s="1"/>
  <c r="N37" i="3"/>
  <c r="M37" i="3"/>
  <c r="J37" i="3"/>
  <c r="L37" i="3" s="1"/>
  <c r="I37" i="3"/>
  <c r="F37" i="3"/>
  <c r="H37" i="3" s="1"/>
  <c r="E37" i="3"/>
  <c r="D37" i="3"/>
  <c r="U36" i="3"/>
  <c r="S36" i="3"/>
  <c r="R36" i="3"/>
  <c r="O36" i="3"/>
  <c r="Q36" i="3" s="1"/>
  <c r="N36" i="3"/>
  <c r="M36" i="3"/>
  <c r="L36" i="3"/>
  <c r="J36" i="3"/>
  <c r="I36" i="3"/>
  <c r="F36" i="3"/>
  <c r="H36" i="3" s="1"/>
  <c r="E36" i="3"/>
  <c r="D36" i="3"/>
  <c r="S35" i="3"/>
  <c r="U35" i="3" s="1"/>
  <c r="R35" i="3"/>
  <c r="O35" i="3"/>
  <c r="Q35" i="3" s="1"/>
  <c r="N35" i="3"/>
  <c r="M35" i="3"/>
  <c r="J35" i="3"/>
  <c r="L35" i="3" s="1"/>
  <c r="I35" i="3"/>
  <c r="F35" i="3"/>
  <c r="H35" i="3" s="1"/>
  <c r="E35" i="3"/>
  <c r="D35" i="3"/>
  <c r="S34" i="3"/>
  <c r="U34" i="3" s="1"/>
  <c r="R34" i="3"/>
  <c r="O34" i="3"/>
  <c r="Q34" i="3" s="1"/>
  <c r="N34" i="3"/>
  <c r="M34" i="3"/>
  <c r="J34" i="3"/>
  <c r="L34" i="3" s="1"/>
  <c r="I34" i="3"/>
  <c r="H34" i="3"/>
  <c r="F34" i="3"/>
  <c r="E34" i="3"/>
  <c r="D34" i="3"/>
  <c r="R33" i="3"/>
  <c r="N33" i="3"/>
  <c r="M33" i="3"/>
  <c r="I33" i="3"/>
  <c r="E33" i="3"/>
  <c r="D33" i="3"/>
  <c r="B33" i="3"/>
  <c r="S32" i="3"/>
  <c r="U32" i="3" s="1"/>
  <c r="R32" i="3"/>
  <c r="O32" i="3"/>
  <c r="Q32" i="3" s="1"/>
  <c r="N32" i="3"/>
  <c r="M32" i="3"/>
  <c r="J32" i="3"/>
  <c r="L32" i="3" s="1"/>
  <c r="I32" i="3"/>
  <c r="F32" i="3"/>
  <c r="H32" i="3" s="1"/>
  <c r="E32" i="3"/>
  <c r="D32" i="3"/>
  <c r="S31" i="3"/>
  <c r="U31" i="3" s="1"/>
  <c r="R31" i="3"/>
  <c r="Q31" i="3"/>
  <c r="O31" i="3"/>
  <c r="N31" i="3"/>
  <c r="M31" i="3"/>
  <c r="J31" i="3"/>
  <c r="L31" i="3" s="1"/>
  <c r="I31" i="3"/>
  <c r="H31" i="3"/>
  <c r="F31" i="3"/>
  <c r="E31" i="3"/>
  <c r="D31" i="3"/>
  <c r="S30" i="3"/>
  <c r="U30" i="3" s="1"/>
  <c r="R30" i="3"/>
  <c r="O30" i="3"/>
  <c r="Q30" i="3" s="1"/>
  <c r="N30" i="3"/>
  <c r="M30" i="3"/>
  <c r="J30" i="3"/>
  <c r="L30" i="3" s="1"/>
  <c r="I30" i="3"/>
  <c r="F30" i="3"/>
  <c r="H30" i="3" s="1"/>
  <c r="E30" i="3"/>
  <c r="D30" i="3"/>
  <c r="S29" i="3"/>
  <c r="U29" i="3" s="1"/>
  <c r="R29" i="3"/>
  <c r="O29" i="3"/>
  <c r="Q29" i="3" s="1"/>
  <c r="N29" i="3"/>
  <c r="M29" i="3"/>
  <c r="J29" i="3"/>
  <c r="L29" i="3" s="1"/>
  <c r="I29" i="3"/>
  <c r="F29" i="3"/>
  <c r="H29" i="3" s="1"/>
  <c r="E29" i="3"/>
  <c r="D29" i="3"/>
  <c r="S28" i="3"/>
  <c r="U28" i="3" s="1"/>
  <c r="R28" i="3"/>
  <c r="O28" i="3"/>
  <c r="Q28" i="3" s="1"/>
  <c r="N28" i="3"/>
  <c r="M28" i="3"/>
  <c r="J28" i="3"/>
  <c r="L28" i="3" s="1"/>
  <c r="I28" i="3"/>
  <c r="F28" i="3"/>
  <c r="H28" i="3" s="1"/>
  <c r="E28" i="3"/>
  <c r="D28" i="3"/>
  <c r="R26" i="3"/>
  <c r="R27" i="3" s="1"/>
  <c r="N26" i="3"/>
  <c r="M26" i="3"/>
  <c r="I26" i="3"/>
  <c r="E26" i="3"/>
  <c r="E27" i="3" s="1"/>
  <c r="D26" i="3"/>
  <c r="D27" i="3" s="1"/>
  <c r="B26" i="3"/>
  <c r="S25" i="3"/>
  <c r="U25" i="3" s="1"/>
  <c r="R25" i="3"/>
  <c r="O25" i="3"/>
  <c r="Q25" i="3" s="1"/>
  <c r="N25" i="3"/>
  <c r="M25" i="3"/>
  <c r="J25" i="3"/>
  <c r="L25" i="3" s="1"/>
  <c r="I25" i="3"/>
  <c r="F25" i="3"/>
  <c r="H25" i="3" s="1"/>
  <c r="E25" i="3"/>
  <c r="D25" i="3"/>
  <c r="U24" i="3"/>
  <c r="S24" i="3"/>
  <c r="R24" i="3"/>
  <c r="Q24" i="3"/>
  <c r="O24" i="3"/>
  <c r="N24" i="3"/>
  <c r="M24" i="3"/>
  <c r="L24" i="3"/>
  <c r="J24" i="3"/>
  <c r="I24" i="3"/>
  <c r="H24" i="3"/>
  <c r="F24" i="3"/>
  <c r="E24" i="3"/>
  <c r="D24" i="3"/>
  <c r="S23" i="3"/>
  <c r="U23" i="3" s="1"/>
  <c r="R23" i="3"/>
  <c r="Q23" i="3"/>
  <c r="O23" i="3"/>
  <c r="N23" i="3"/>
  <c r="M23" i="3"/>
  <c r="J23" i="3"/>
  <c r="L23" i="3" s="1"/>
  <c r="I23" i="3"/>
  <c r="H23" i="3"/>
  <c r="F23" i="3"/>
  <c r="E23" i="3"/>
  <c r="D23" i="3"/>
  <c r="R21" i="3"/>
  <c r="N21" i="3"/>
  <c r="M21" i="3"/>
  <c r="I21" i="3"/>
  <c r="E21" i="3"/>
  <c r="D21" i="3"/>
  <c r="F21" i="3" s="1"/>
  <c r="B21" i="3"/>
  <c r="S20" i="3"/>
  <c r="U20" i="3" s="1"/>
  <c r="R20" i="3"/>
  <c r="O20" i="3"/>
  <c r="Q20" i="3" s="1"/>
  <c r="N20" i="3"/>
  <c r="M20" i="3"/>
  <c r="J20" i="3"/>
  <c r="L20" i="3" s="1"/>
  <c r="I20" i="3"/>
  <c r="F20" i="3"/>
  <c r="H20" i="3" s="1"/>
  <c r="E20" i="3"/>
  <c r="D20" i="3"/>
  <c r="U19" i="3"/>
  <c r="S19" i="3"/>
  <c r="R19" i="3"/>
  <c r="Q19" i="3"/>
  <c r="O19" i="3"/>
  <c r="N19" i="3"/>
  <c r="M19" i="3"/>
  <c r="L19" i="3"/>
  <c r="J19" i="3"/>
  <c r="I19" i="3"/>
  <c r="H19" i="3"/>
  <c r="F19" i="3"/>
  <c r="E19" i="3"/>
  <c r="D19" i="3"/>
  <c r="S18" i="3"/>
  <c r="U18" i="3" s="1"/>
  <c r="R18" i="3"/>
  <c r="Q18" i="3"/>
  <c r="O18" i="3"/>
  <c r="N18" i="3"/>
  <c r="M18" i="3"/>
  <c r="L18" i="3"/>
  <c r="J18" i="3"/>
  <c r="I18" i="3"/>
  <c r="H18" i="3"/>
  <c r="F18" i="3"/>
  <c r="E18" i="3"/>
  <c r="D18" i="3"/>
  <c r="U17" i="3"/>
  <c r="S17" i="3"/>
  <c r="R17" i="3"/>
  <c r="Q17" i="3"/>
  <c r="O17" i="3"/>
  <c r="N17" i="3"/>
  <c r="M17" i="3"/>
  <c r="L17" i="3"/>
  <c r="J17" i="3"/>
  <c r="I17" i="3"/>
  <c r="H17" i="3"/>
  <c r="F17" i="3"/>
  <c r="E17" i="3"/>
  <c r="D17" i="3"/>
  <c r="S16" i="3"/>
  <c r="U16" i="3" s="1"/>
  <c r="R16" i="3"/>
  <c r="O16" i="3"/>
  <c r="Q16" i="3" s="1"/>
  <c r="N16" i="3"/>
  <c r="M16" i="3"/>
  <c r="J16" i="3"/>
  <c r="L16" i="3" s="1"/>
  <c r="I16" i="3"/>
  <c r="F16" i="3"/>
  <c r="H16" i="3" s="1"/>
  <c r="E16" i="3"/>
  <c r="D16" i="3"/>
  <c r="R15" i="3"/>
  <c r="N15" i="3"/>
  <c r="N22" i="3" s="1"/>
  <c r="M15" i="3"/>
  <c r="I15" i="3"/>
  <c r="E15" i="3"/>
  <c r="H15" i="3" s="1"/>
  <c r="D15" i="3"/>
  <c r="B15" i="3"/>
  <c r="U14" i="3"/>
  <c r="S14" i="3"/>
  <c r="R14" i="3"/>
  <c r="Q14" i="3"/>
  <c r="O14" i="3"/>
  <c r="N14" i="3"/>
  <c r="M14" i="3"/>
  <c r="L14" i="3"/>
  <c r="J14" i="3"/>
  <c r="I14" i="3"/>
  <c r="H14" i="3"/>
  <c r="F14" i="3"/>
  <c r="E14" i="3"/>
  <c r="D14" i="3"/>
  <c r="U13" i="3"/>
  <c r="S13" i="3"/>
  <c r="R13" i="3"/>
  <c r="Q13" i="3"/>
  <c r="O13" i="3"/>
  <c r="N13" i="3"/>
  <c r="M13" i="3"/>
  <c r="L13" i="3"/>
  <c r="J13" i="3"/>
  <c r="I13" i="3"/>
  <c r="H13" i="3"/>
  <c r="F13" i="3"/>
  <c r="E13" i="3"/>
  <c r="D13" i="3"/>
  <c r="S12" i="3"/>
  <c r="U12" i="3" s="1"/>
  <c r="R12" i="3"/>
  <c r="Q12" i="3"/>
  <c r="O12" i="3"/>
  <c r="N12" i="3"/>
  <c r="M12" i="3"/>
  <c r="J12" i="3"/>
  <c r="L12" i="3" s="1"/>
  <c r="I12" i="3"/>
  <c r="H12" i="3"/>
  <c r="F12" i="3"/>
  <c r="E12" i="3"/>
  <c r="D12" i="3"/>
  <c r="B9" i="3"/>
  <c r="E7" i="3"/>
  <c r="C7" i="3"/>
  <c r="E6" i="3"/>
  <c r="C6" i="3"/>
  <c r="E5" i="3"/>
  <c r="C5" i="3"/>
  <c r="B214" i="2"/>
  <c r="R213" i="2"/>
  <c r="N213" i="2"/>
  <c r="Q213" i="2" s="1"/>
  <c r="M213" i="2"/>
  <c r="S213" i="2" s="1"/>
  <c r="U213" i="2" s="1"/>
  <c r="I213" i="2"/>
  <c r="E213" i="2"/>
  <c r="H213" i="2" s="1"/>
  <c r="D213" i="2"/>
  <c r="F213" i="2" s="1"/>
  <c r="R212" i="2"/>
  <c r="R214" i="2" s="1"/>
  <c r="R215" i="2" s="1"/>
  <c r="N212" i="2"/>
  <c r="N214" i="2" s="1"/>
  <c r="N215" i="2" s="1"/>
  <c r="M212" i="2"/>
  <c r="I212" i="2"/>
  <c r="E212" i="2"/>
  <c r="E214" i="2" s="1"/>
  <c r="D212" i="2"/>
  <c r="B206" i="2"/>
  <c r="R205" i="2"/>
  <c r="U205" i="2" s="1"/>
  <c r="Q205" i="2"/>
  <c r="N205" i="2"/>
  <c r="M205" i="2"/>
  <c r="S205" i="2" s="1"/>
  <c r="I205" i="2"/>
  <c r="L205" i="2" s="1"/>
  <c r="E205" i="2"/>
  <c r="H205" i="2" s="1"/>
  <c r="D205" i="2"/>
  <c r="J205" i="2" s="1"/>
  <c r="R204" i="2"/>
  <c r="N204" i="2"/>
  <c r="Q204" i="2" s="1"/>
  <c r="M204" i="2"/>
  <c r="S204" i="2" s="1"/>
  <c r="U204" i="2" s="1"/>
  <c r="I204" i="2"/>
  <c r="E204" i="2"/>
  <c r="H204" i="2" s="1"/>
  <c r="D204" i="2"/>
  <c r="J204" i="2" s="1"/>
  <c r="L204" i="2" s="1"/>
  <c r="U203" i="2"/>
  <c r="S203" i="2"/>
  <c r="R203" i="2"/>
  <c r="N203" i="2"/>
  <c r="Q203" i="2" s="1"/>
  <c r="M203" i="2"/>
  <c r="O203" i="2" s="1"/>
  <c r="I203" i="2"/>
  <c r="L203" i="2" s="1"/>
  <c r="E203" i="2"/>
  <c r="H203" i="2" s="1"/>
  <c r="D203" i="2"/>
  <c r="J203" i="2" s="1"/>
  <c r="S202" i="2"/>
  <c r="U202" i="2" s="1"/>
  <c r="R202" i="2"/>
  <c r="N202" i="2"/>
  <c r="Q202" i="2" s="1"/>
  <c r="M202" i="2"/>
  <c r="I202" i="2"/>
  <c r="H202" i="2"/>
  <c r="E202" i="2"/>
  <c r="D202" i="2"/>
  <c r="J202" i="2" s="1"/>
  <c r="L202" i="2" s="1"/>
  <c r="R201" i="2"/>
  <c r="R206" i="2" s="1"/>
  <c r="R207" i="2" s="1"/>
  <c r="N201" i="2"/>
  <c r="M201" i="2"/>
  <c r="L201" i="2"/>
  <c r="I201" i="2"/>
  <c r="E201" i="2"/>
  <c r="D201" i="2"/>
  <c r="D206" i="2" s="1"/>
  <c r="D207" i="2" s="1"/>
  <c r="B199" i="2"/>
  <c r="R198" i="2"/>
  <c r="N198" i="2"/>
  <c r="Q198" i="2" s="1"/>
  <c r="M198" i="2"/>
  <c r="I198" i="2"/>
  <c r="E198" i="2"/>
  <c r="H198" i="2" s="1"/>
  <c r="D198" i="2"/>
  <c r="J198" i="2" s="1"/>
  <c r="L198" i="2" s="1"/>
  <c r="S197" i="2"/>
  <c r="U197" i="2" s="1"/>
  <c r="R197" i="2"/>
  <c r="N197" i="2"/>
  <c r="Q197" i="2" s="1"/>
  <c r="M197" i="2"/>
  <c r="I197" i="2"/>
  <c r="H197" i="2"/>
  <c r="E197" i="2"/>
  <c r="D197" i="2"/>
  <c r="J197" i="2" s="1"/>
  <c r="L197" i="2" s="1"/>
  <c r="R196" i="2"/>
  <c r="N196" i="2"/>
  <c r="Q196" i="2" s="1"/>
  <c r="M196" i="2"/>
  <c r="S196" i="2" s="1"/>
  <c r="U196" i="2" s="1"/>
  <c r="I196" i="2"/>
  <c r="J196" i="2" s="1"/>
  <c r="L196" i="2" s="1"/>
  <c r="H196" i="2"/>
  <c r="E196" i="2"/>
  <c r="D196" i="2"/>
  <c r="F196" i="2" s="1"/>
  <c r="R195" i="2"/>
  <c r="S195" i="2" s="1"/>
  <c r="U195" i="2" s="1"/>
  <c r="N195" i="2"/>
  <c r="Q195" i="2" s="1"/>
  <c r="M195" i="2"/>
  <c r="O195" i="2" s="1"/>
  <c r="I195" i="2"/>
  <c r="I199" i="2" s="1"/>
  <c r="I200" i="2" s="1"/>
  <c r="E195" i="2"/>
  <c r="H195" i="2" s="1"/>
  <c r="D195" i="2"/>
  <c r="B189" i="2"/>
  <c r="R188" i="2"/>
  <c r="U188" i="2" s="1"/>
  <c r="N188" i="2"/>
  <c r="Q188" i="2" s="1"/>
  <c r="M188" i="2"/>
  <c r="S188" i="2" s="1"/>
  <c r="I188" i="2"/>
  <c r="L188" i="2" s="1"/>
  <c r="H188" i="2"/>
  <c r="E188" i="2"/>
  <c r="D188" i="2"/>
  <c r="R187" i="2"/>
  <c r="R189" i="2" s="1"/>
  <c r="N187" i="2"/>
  <c r="N189" i="2" s="1"/>
  <c r="Q189" i="2" s="1"/>
  <c r="M187" i="2"/>
  <c r="I187" i="2"/>
  <c r="F187" i="2"/>
  <c r="E187" i="2"/>
  <c r="E189" i="2" s="1"/>
  <c r="H189" i="2" s="1"/>
  <c r="D187" i="2"/>
  <c r="J187" i="2" s="1"/>
  <c r="L187" i="2" s="1"/>
  <c r="B186" i="2"/>
  <c r="R185" i="2"/>
  <c r="N185" i="2"/>
  <c r="M185" i="2"/>
  <c r="S185" i="2" s="1"/>
  <c r="U185" i="2" s="1"/>
  <c r="I185" i="2"/>
  <c r="F185" i="2"/>
  <c r="H185" i="2" s="1"/>
  <c r="E185" i="2"/>
  <c r="D185" i="2"/>
  <c r="R184" i="2"/>
  <c r="N184" i="2"/>
  <c r="M184" i="2"/>
  <c r="S184" i="2" s="1"/>
  <c r="U184" i="2" s="1"/>
  <c r="I184" i="2"/>
  <c r="E184" i="2"/>
  <c r="D184" i="2"/>
  <c r="R183" i="2"/>
  <c r="S183" i="2" s="1"/>
  <c r="U183" i="2" s="1"/>
  <c r="N183" i="2"/>
  <c r="M183" i="2"/>
  <c r="O183" i="2" s="1"/>
  <c r="Q183" i="2" s="1"/>
  <c r="I183" i="2"/>
  <c r="E183" i="2"/>
  <c r="D183" i="2"/>
  <c r="S182" i="2"/>
  <c r="R182" i="2"/>
  <c r="N182" i="2"/>
  <c r="O182" i="2" s="1"/>
  <c r="Q182" i="2" s="1"/>
  <c r="M182" i="2"/>
  <c r="I182" i="2"/>
  <c r="E182" i="2"/>
  <c r="D182" i="2"/>
  <c r="J182" i="2" s="1"/>
  <c r="L182" i="2" s="1"/>
  <c r="R181" i="2"/>
  <c r="N181" i="2"/>
  <c r="M181" i="2"/>
  <c r="S181" i="2" s="1"/>
  <c r="U181" i="2" s="1"/>
  <c r="I181" i="2"/>
  <c r="I186" i="2" s="1"/>
  <c r="F181" i="2"/>
  <c r="H181" i="2" s="1"/>
  <c r="E181" i="2"/>
  <c r="D181" i="2"/>
  <c r="R180" i="2"/>
  <c r="M180" i="2"/>
  <c r="B180" i="2"/>
  <c r="R179" i="2"/>
  <c r="N179" i="2"/>
  <c r="Q179" i="2" s="1"/>
  <c r="M179" i="2"/>
  <c r="S179" i="2" s="1"/>
  <c r="U179" i="2" s="1"/>
  <c r="I179" i="2"/>
  <c r="E179" i="2"/>
  <c r="H179" i="2" s="1"/>
  <c r="D179" i="2"/>
  <c r="R178" i="2"/>
  <c r="N178" i="2"/>
  <c r="M178" i="2"/>
  <c r="S178" i="2" s="1"/>
  <c r="I178" i="2"/>
  <c r="E178" i="2"/>
  <c r="D178" i="2"/>
  <c r="D180" i="2" s="1"/>
  <c r="B177" i="2"/>
  <c r="R176" i="2"/>
  <c r="N176" i="2"/>
  <c r="O176" i="2" s="1"/>
  <c r="Q176" i="2" s="1"/>
  <c r="M176" i="2"/>
  <c r="I176" i="2"/>
  <c r="E176" i="2"/>
  <c r="D176" i="2"/>
  <c r="R175" i="2"/>
  <c r="N175" i="2"/>
  <c r="M175" i="2"/>
  <c r="S175" i="2" s="1"/>
  <c r="U175" i="2" s="1"/>
  <c r="J175" i="2"/>
  <c r="L175" i="2" s="1"/>
  <c r="I175" i="2"/>
  <c r="E175" i="2"/>
  <c r="D175" i="2"/>
  <c r="F175" i="2" s="1"/>
  <c r="H175" i="2" s="1"/>
  <c r="R174" i="2"/>
  <c r="N174" i="2"/>
  <c r="M174" i="2"/>
  <c r="I174" i="2"/>
  <c r="E174" i="2"/>
  <c r="D174" i="2"/>
  <c r="F174" i="2" s="1"/>
  <c r="H174" i="2" s="1"/>
  <c r="R173" i="2"/>
  <c r="N173" i="2"/>
  <c r="M173" i="2"/>
  <c r="I173" i="2"/>
  <c r="E173" i="2"/>
  <c r="D173" i="2"/>
  <c r="R172" i="2"/>
  <c r="N172" i="2"/>
  <c r="M172" i="2"/>
  <c r="S172" i="2" s="1"/>
  <c r="U172" i="2" s="1"/>
  <c r="I172" i="2"/>
  <c r="E172" i="2"/>
  <c r="D172" i="2"/>
  <c r="R171" i="2"/>
  <c r="U171" i="2" s="1"/>
  <c r="N171" i="2"/>
  <c r="Q171" i="2" s="1"/>
  <c r="M171" i="2"/>
  <c r="I171" i="2"/>
  <c r="L171" i="2" s="1"/>
  <c r="E171" i="2"/>
  <c r="H171" i="2" s="1"/>
  <c r="D171" i="2"/>
  <c r="J171" i="2" s="1"/>
  <c r="R170" i="2"/>
  <c r="N170" i="2"/>
  <c r="M170" i="2"/>
  <c r="I170" i="2"/>
  <c r="E170" i="2"/>
  <c r="E177" i="2" s="1"/>
  <c r="D170" i="2"/>
  <c r="J170" i="2" s="1"/>
  <c r="L170" i="2" s="1"/>
  <c r="R169" i="2"/>
  <c r="N169" i="2"/>
  <c r="Q169" i="2" s="1"/>
  <c r="M169" i="2"/>
  <c r="S169" i="2" s="1"/>
  <c r="U169" i="2" s="1"/>
  <c r="I169" i="2"/>
  <c r="E169" i="2"/>
  <c r="H169" i="2" s="1"/>
  <c r="D169" i="2"/>
  <c r="J169" i="2" s="1"/>
  <c r="L169" i="2" s="1"/>
  <c r="R168" i="2"/>
  <c r="N168" i="2"/>
  <c r="M168" i="2"/>
  <c r="I168" i="2"/>
  <c r="E168" i="2"/>
  <c r="D168" i="2"/>
  <c r="J168" i="2" s="1"/>
  <c r="L168" i="2" s="1"/>
  <c r="R167" i="2"/>
  <c r="N167" i="2"/>
  <c r="M167" i="2"/>
  <c r="I167" i="2"/>
  <c r="E167" i="2"/>
  <c r="D167" i="2"/>
  <c r="I166" i="2"/>
  <c r="B166" i="2"/>
  <c r="R165" i="2"/>
  <c r="N165" i="2"/>
  <c r="M165" i="2"/>
  <c r="S165" i="2" s="1"/>
  <c r="U165" i="2" s="1"/>
  <c r="I165" i="2"/>
  <c r="E165" i="2"/>
  <c r="D165" i="2"/>
  <c r="J165" i="2" s="1"/>
  <c r="L165" i="2" s="1"/>
  <c r="R164" i="2"/>
  <c r="R166" i="2" s="1"/>
  <c r="N164" i="2"/>
  <c r="N166" i="2" s="1"/>
  <c r="M164" i="2"/>
  <c r="S164" i="2" s="1"/>
  <c r="U164" i="2" s="1"/>
  <c r="I164" i="2"/>
  <c r="E164" i="2"/>
  <c r="E166" i="2" s="1"/>
  <c r="D164" i="2"/>
  <c r="D166" i="2" s="1"/>
  <c r="B163" i="2"/>
  <c r="R162" i="2"/>
  <c r="Q162" i="2"/>
  <c r="N162" i="2"/>
  <c r="M162" i="2"/>
  <c r="O162" i="2" s="1"/>
  <c r="I162" i="2"/>
  <c r="E162" i="2"/>
  <c r="H162" i="2" s="1"/>
  <c r="D162" i="2"/>
  <c r="R161" i="2"/>
  <c r="N161" i="2"/>
  <c r="M161" i="2"/>
  <c r="O161" i="2" s="1"/>
  <c r="Q161" i="2" s="1"/>
  <c r="J161" i="2"/>
  <c r="L161" i="2" s="1"/>
  <c r="I161" i="2"/>
  <c r="E161" i="2"/>
  <c r="D161" i="2"/>
  <c r="F161" i="2" s="1"/>
  <c r="H161" i="2" s="1"/>
  <c r="S160" i="2"/>
  <c r="U160" i="2" s="1"/>
  <c r="R160" i="2"/>
  <c r="N160" i="2"/>
  <c r="M160" i="2"/>
  <c r="J160" i="2"/>
  <c r="L160" i="2" s="1"/>
  <c r="I160" i="2"/>
  <c r="F160" i="2"/>
  <c r="H160" i="2" s="1"/>
  <c r="E160" i="2"/>
  <c r="D160" i="2"/>
  <c r="R159" i="2"/>
  <c r="N159" i="2"/>
  <c r="O159" i="2" s="1"/>
  <c r="Q159" i="2" s="1"/>
  <c r="M159" i="2"/>
  <c r="M163" i="2" s="1"/>
  <c r="I159" i="2"/>
  <c r="E159" i="2"/>
  <c r="D159" i="2"/>
  <c r="R158" i="2"/>
  <c r="N158" i="2"/>
  <c r="M158" i="2"/>
  <c r="S158" i="2" s="1"/>
  <c r="U158" i="2" s="1"/>
  <c r="I158" i="2"/>
  <c r="E158" i="2"/>
  <c r="D158" i="2"/>
  <c r="J158" i="2" s="1"/>
  <c r="L158" i="2" s="1"/>
  <c r="R157" i="2"/>
  <c r="N157" i="2"/>
  <c r="M157" i="2"/>
  <c r="S157" i="2" s="1"/>
  <c r="U157" i="2" s="1"/>
  <c r="I157" i="2"/>
  <c r="I163" i="2" s="1"/>
  <c r="E157" i="2"/>
  <c r="E163" i="2" s="1"/>
  <c r="D157" i="2"/>
  <c r="D163" i="2" s="1"/>
  <c r="B156" i="2"/>
  <c r="R155" i="2"/>
  <c r="N155" i="2"/>
  <c r="M155" i="2"/>
  <c r="S155" i="2" s="1"/>
  <c r="U155" i="2" s="1"/>
  <c r="I155" i="2"/>
  <c r="E155" i="2"/>
  <c r="D155" i="2"/>
  <c r="J155" i="2" s="1"/>
  <c r="L155" i="2" s="1"/>
  <c r="R154" i="2"/>
  <c r="N154" i="2"/>
  <c r="M154" i="2"/>
  <c r="S154" i="2" s="1"/>
  <c r="U154" i="2" s="1"/>
  <c r="I154" i="2"/>
  <c r="E154" i="2"/>
  <c r="D154" i="2"/>
  <c r="R153" i="2"/>
  <c r="N153" i="2"/>
  <c r="M153" i="2"/>
  <c r="I153" i="2"/>
  <c r="I156" i="2" s="1"/>
  <c r="E153" i="2"/>
  <c r="F153" i="2" s="1"/>
  <c r="H153" i="2" s="1"/>
  <c r="D153" i="2"/>
  <c r="U152" i="2"/>
  <c r="R152" i="2"/>
  <c r="R156" i="2" s="1"/>
  <c r="N152" i="2"/>
  <c r="Q152" i="2" s="1"/>
  <c r="M152" i="2"/>
  <c r="M156" i="2" s="1"/>
  <c r="I152" i="2"/>
  <c r="L152" i="2" s="1"/>
  <c r="E152" i="2"/>
  <c r="E156" i="2" s="1"/>
  <c r="D152" i="2"/>
  <c r="B151" i="2"/>
  <c r="R150" i="2"/>
  <c r="N150" i="2"/>
  <c r="Q150" i="2" s="1"/>
  <c r="M150" i="2"/>
  <c r="S150" i="2" s="1"/>
  <c r="U150" i="2" s="1"/>
  <c r="I150" i="2"/>
  <c r="H150" i="2"/>
  <c r="F150" i="2"/>
  <c r="E150" i="2"/>
  <c r="D150" i="2"/>
  <c r="J150" i="2" s="1"/>
  <c r="L150" i="2" s="1"/>
  <c r="R149" i="2"/>
  <c r="N149" i="2"/>
  <c r="M149" i="2"/>
  <c r="S149" i="2" s="1"/>
  <c r="U149" i="2" s="1"/>
  <c r="I149" i="2"/>
  <c r="E149" i="2"/>
  <c r="D149" i="2"/>
  <c r="R148" i="2"/>
  <c r="N148" i="2"/>
  <c r="M148" i="2"/>
  <c r="S148" i="2" s="1"/>
  <c r="U148" i="2" s="1"/>
  <c r="I148" i="2"/>
  <c r="E148" i="2"/>
  <c r="D148" i="2"/>
  <c r="J148" i="2" s="1"/>
  <c r="L148" i="2" s="1"/>
  <c r="R147" i="2"/>
  <c r="N147" i="2"/>
  <c r="M147" i="2"/>
  <c r="I147" i="2"/>
  <c r="E147" i="2"/>
  <c r="D147" i="2"/>
  <c r="J147" i="2" s="1"/>
  <c r="L147" i="2" s="1"/>
  <c r="R146" i="2"/>
  <c r="R151" i="2" s="1"/>
  <c r="N146" i="2"/>
  <c r="M146" i="2"/>
  <c r="I146" i="2"/>
  <c r="E146" i="2"/>
  <c r="D146" i="2"/>
  <c r="F146" i="2" s="1"/>
  <c r="H146" i="2" s="1"/>
  <c r="B145" i="2"/>
  <c r="R144" i="2"/>
  <c r="N144" i="2"/>
  <c r="M144" i="2"/>
  <c r="I144" i="2"/>
  <c r="E144" i="2"/>
  <c r="D144" i="2"/>
  <c r="J144" i="2" s="1"/>
  <c r="L144" i="2" s="1"/>
  <c r="R143" i="2"/>
  <c r="S143" i="2" s="1"/>
  <c r="U143" i="2" s="1"/>
  <c r="N143" i="2"/>
  <c r="O143" i="2" s="1"/>
  <c r="Q143" i="2" s="1"/>
  <c r="M143" i="2"/>
  <c r="I143" i="2"/>
  <c r="E143" i="2"/>
  <c r="D143" i="2"/>
  <c r="R142" i="2"/>
  <c r="S142" i="2" s="1"/>
  <c r="U142" i="2" s="1"/>
  <c r="N142" i="2"/>
  <c r="M142" i="2"/>
  <c r="J142" i="2"/>
  <c r="L142" i="2" s="1"/>
  <c r="I142" i="2"/>
  <c r="E142" i="2"/>
  <c r="F142" i="2" s="1"/>
  <c r="H142" i="2" s="1"/>
  <c r="D142" i="2"/>
  <c r="R141" i="2"/>
  <c r="N141" i="2"/>
  <c r="M141" i="2"/>
  <c r="S141" i="2" s="1"/>
  <c r="U141" i="2" s="1"/>
  <c r="I141" i="2"/>
  <c r="E141" i="2"/>
  <c r="D141" i="2"/>
  <c r="R140" i="2"/>
  <c r="N140" i="2"/>
  <c r="M140" i="2"/>
  <c r="O140" i="2" s="1"/>
  <c r="Q140" i="2" s="1"/>
  <c r="J140" i="2"/>
  <c r="L140" i="2" s="1"/>
  <c r="I140" i="2"/>
  <c r="F140" i="2"/>
  <c r="H140" i="2" s="1"/>
  <c r="E140" i="2"/>
  <c r="D140" i="2"/>
  <c r="R139" i="2"/>
  <c r="S139" i="2" s="1"/>
  <c r="U139" i="2" s="1"/>
  <c r="N139" i="2"/>
  <c r="O139" i="2" s="1"/>
  <c r="Q139" i="2" s="1"/>
  <c r="M139" i="2"/>
  <c r="I139" i="2"/>
  <c r="F139" i="2"/>
  <c r="H139" i="2" s="1"/>
  <c r="E139" i="2"/>
  <c r="D139" i="2"/>
  <c r="J139" i="2" s="1"/>
  <c r="L139" i="2" s="1"/>
  <c r="R138" i="2"/>
  <c r="N138" i="2"/>
  <c r="M138" i="2"/>
  <c r="O138" i="2" s="1"/>
  <c r="Q138" i="2" s="1"/>
  <c r="I138" i="2"/>
  <c r="E138" i="2"/>
  <c r="E145" i="2" s="1"/>
  <c r="D138" i="2"/>
  <c r="D145" i="2" s="1"/>
  <c r="B137" i="2"/>
  <c r="R136" i="2"/>
  <c r="N136" i="2"/>
  <c r="Q136" i="2" s="1"/>
  <c r="M136" i="2"/>
  <c r="J136" i="2"/>
  <c r="L136" i="2" s="1"/>
  <c r="I136" i="2"/>
  <c r="E136" i="2"/>
  <c r="H136" i="2" s="1"/>
  <c r="D136" i="2"/>
  <c r="F136" i="2" s="1"/>
  <c r="S135" i="2"/>
  <c r="U135" i="2" s="1"/>
  <c r="R135" i="2"/>
  <c r="N135" i="2"/>
  <c r="M135" i="2"/>
  <c r="O135" i="2" s="1"/>
  <c r="Q135" i="2" s="1"/>
  <c r="I135" i="2"/>
  <c r="E135" i="2"/>
  <c r="D135" i="2"/>
  <c r="R134" i="2"/>
  <c r="N134" i="2"/>
  <c r="M134" i="2"/>
  <c r="S134" i="2" s="1"/>
  <c r="U134" i="2" s="1"/>
  <c r="I134" i="2"/>
  <c r="I137" i="2" s="1"/>
  <c r="E134" i="2"/>
  <c r="D134" i="2"/>
  <c r="R133" i="2"/>
  <c r="R137" i="2" s="1"/>
  <c r="N133" i="2"/>
  <c r="N137" i="2" s="1"/>
  <c r="M133" i="2"/>
  <c r="S133" i="2" s="1"/>
  <c r="U133" i="2" s="1"/>
  <c r="I133" i="2"/>
  <c r="E133" i="2"/>
  <c r="E137" i="2" s="1"/>
  <c r="D133" i="2"/>
  <c r="D137" i="2" s="1"/>
  <c r="B132" i="2"/>
  <c r="R131" i="2"/>
  <c r="N131" i="2"/>
  <c r="M131" i="2"/>
  <c r="S131" i="2" s="1"/>
  <c r="U131" i="2" s="1"/>
  <c r="I131" i="2"/>
  <c r="E131" i="2"/>
  <c r="D131" i="2"/>
  <c r="R130" i="2"/>
  <c r="N130" i="2"/>
  <c r="M130" i="2"/>
  <c r="J130" i="2"/>
  <c r="L130" i="2" s="1"/>
  <c r="I130" i="2"/>
  <c r="E130" i="2"/>
  <c r="D130" i="2"/>
  <c r="F130" i="2" s="1"/>
  <c r="H130" i="2" s="1"/>
  <c r="R129" i="2"/>
  <c r="N129" i="2"/>
  <c r="M129" i="2"/>
  <c r="S129" i="2" s="1"/>
  <c r="U129" i="2" s="1"/>
  <c r="I129" i="2"/>
  <c r="E129" i="2"/>
  <c r="D129" i="2"/>
  <c r="F129" i="2" s="1"/>
  <c r="H129" i="2" s="1"/>
  <c r="S128" i="2"/>
  <c r="U128" i="2" s="1"/>
  <c r="R128" i="2"/>
  <c r="Q128" i="2"/>
  <c r="N128" i="2"/>
  <c r="M128" i="2"/>
  <c r="O128" i="2" s="1"/>
  <c r="I128" i="2"/>
  <c r="I132" i="2" s="1"/>
  <c r="E128" i="2"/>
  <c r="D128" i="2"/>
  <c r="F128" i="2" s="1"/>
  <c r="R127" i="2"/>
  <c r="B127" i="2"/>
  <c r="R126" i="2"/>
  <c r="N126" i="2"/>
  <c r="M126" i="2"/>
  <c r="I126" i="2"/>
  <c r="E126" i="2"/>
  <c r="D126" i="2"/>
  <c r="R125" i="2"/>
  <c r="N125" i="2"/>
  <c r="M125" i="2"/>
  <c r="I125" i="2"/>
  <c r="E125" i="2"/>
  <c r="D125" i="2"/>
  <c r="S124" i="2"/>
  <c r="U124" i="2" s="1"/>
  <c r="R124" i="2"/>
  <c r="N124" i="2"/>
  <c r="M124" i="2"/>
  <c r="O124" i="2" s="1"/>
  <c r="I124" i="2"/>
  <c r="E124" i="2"/>
  <c r="D124" i="2"/>
  <c r="F124" i="2" s="1"/>
  <c r="H124" i="2" s="1"/>
  <c r="R123" i="2"/>
  <c r="N123" i="2"/>
  <c r="Q123" i="2" s="1"/>
  <c r="M123" i="2"/>
  <c r="I123" i="2"/>
  <c r="H123" i="2"/>
  <c r="E123" i="2"/>
  <c r="D123" i="2"/>
  <c r="F123" i="2" s="1"/>
  <c r="S122" i="2"/>
  <c r="U122" i="2" s="1"/>
  <c r="R122" i="2"/>
  <c r="N122" i="2"/>
  <c r="N127" i="2" s="1"/>
  <c r="M122" i="2"/>
  <c r="I122" i="2"/>
  <c r="E122" i="2"/>
  <c r="E127" i="2" s="1"/>
  <c r="D122" i="2"/>
  <c r="B121" i="2"/>
  <c r="R120" i="2"/>
  <c r="O120" i="2"/>
  <c r="N120" i="2"/>
  <c r="Q120" i="2" s="1"/>
  <c r="M120" i="2"/>
  <c r="S120" i="2" s="1"/>
  <c r="U120" i="2" s="1"/>
  <c r="I120" i="2"/>
  <c r="E120" i="2"/>
  <c r="H120" i="2" s="1"/>
  <c r="D120" i="2"/>
  <c r="R119" i="2"/>
  <c r="N119" i="2"/>
  <c r="Q119" i="2" s="1"/>
  <c r="M119" i="2"/>
  <c r="O119" i="2" s="1"/>
  <c r="I119" i="2"/>
  <c r="H119" i="2"/>
  <c r="E119" i="2"/>
  <c r="D119" i="2"/>
  <c r="R118" i="2"/>
  <c r="N118" i="2"/>
  <c r="M118" i="2"/>
  <c r="I118" i="2"/>
  <c r="E118" i="2"/>
  <c r="D118" i="2"/>
  <c r="J118" i="2" s="1"/>
  <c r="L118" i="2" s="1"/>
  <c r="R117" i="2"/>
  <c r="N117" i="2"/>
  <c r="Q117" i="2" s="1"/>
  <c r="M117" i="2"/>
  <c r="O117" i="2" s="1"/>
  <c r="J117" i="2"/>
  <c r="L117" i="2" s="1"/>
  <c r="I117" i="2"/>
  <c r="E117" i="2"/>
  <c r="H117" i="2" s="1"/>
  <c r="D117" i="2"/>
  <c r="R116" i="2"/>
  <c r="N116" i="2"/>
  <c r="Q116" i="2" s="1"/>
  <c r="M116" i="2"/>
  <c r="O116" i="2" s="1"/>
  <c r="J116" i="2"/>
  <c r="L116" i="2" s="1"/>
  <c r="I116" i="2"/>
  <c r="E116" i="2"/>
  <c r="E121" i="2" s="1"/>
  <c r="D116" i="2"/>
  <c r="F116" i="2" s="1"/>
  <c r="R115" i="2"/>
  <c r="R121" i="2" s="1"/>
  <c r="N115" i="2"/>
  <c r="M115" i="2"/>
  <c r="O115" i="2" s="1"/>
  <c r="Q115" i="2" s="1"/>
  <c r="I115" i="2"/>
  <c r="F115" i="2"/>
  <c r="H115" i="2" s="1"/>
  <c r="E115" i="2"/>
  <c r="D115" i="2"/>
  <c r="B114" i="2"/>
  <c r="R113" i="2"/>
  <c r="N113" i="2"/>
  <c r="Q113" i="2" s="1"/>
  <c r="M113" i="2"/>
  <c r="M114" i="2" s="1"/>
  <c r="I113" i="2"/>
  <c r="I114" i="2" s="1"/>
  <c r="H113" i="2"/>
  <c r="E113" i="2"/>
  <c r="E114" i="2" s="1"/>
  <c r="D113" i="2"/>
  <c r="D114" i="2" s="1"/>
  <c r="B111" i="2"/>
  <c r="U110" i="2"/>
  <c r="R110" i="2"/>
  <c r="N110" i="2"/>
  <c r="Q110" i="2" s="1"/>
  <c r="M110" i="2"/>
  <c r="S110" i="2" s="1"/>
  <c r="J110" i="2"/>
  <c r="I110" i="2"/>
  <c r="L110" i="2" s="1"/>
  <c r="E110" i="2"/>
  <c r="H110" i="2" s="1"/>
  <c r="D110" i="2"/>
  <c r="R109" i="2"/>
  <c r="N109" i="2"/>
  <c r="M109" i="2"/>
  <c r="S109" i="2" s="1"/>
  <c r="U109" i="2" s="1"/>
  <c r="I109" i="2"/>
  <c r="E109" i="2"/>
  <c r="D109" i="2"/>
  <c r="R108" i="2"/>
  <c r="N108" i="2"/>
  <c r="M108" i="2"/>
  <c r="O108" i="2" s="1"/>
  <c r="Q108" i="2" s="1"/>
  <c r="J108" i="2"/>
  <c r="L108" i="2" s="1"/>
  <c r="I108" i="2"/>
  <c r="E108" i="2"/>
  <c r="D108" i="2"/>
  <c r="F108" i="2" s="1"/>
  <c r="H108" i="2" s="1"/>
  <c r="S107" i="2"/>
  <c r="R107" i="2"/>
  <c r="U107" i="2" s="1"/>
  <c r="N107" i="2"/>
  <c r="Q107" i="2" s="1"/>
  <c r="M107" i="2"/>
  <c r="I107" i="2"/>
  <c r="L107" i="2" s="1"/>
  <c r="H107" i="2"/>
  <c r="F107" i="2"/>
  <c r="E107" i="2"/>
  <c r="D107" i="2"/>
  <c r="R106" i="2"/>
  <c r="U106" i="2" s="1"/>
  <c r="Q106" i="2"/>
  <c r="N106" i="2"/>
  <c r="O106" i="2" s="1"/>
  <c r="M106" i="2"/>
  <c r="I106" i="2"/>
  <c r="L106" i="2" s="1"/>
  <c r="E106" i="2"/>
  <c r="H106" i="2" s="1"/>
  <c r="D106" i="2"/>
  <c r="U105" i="2"/>
  <c r="R105" i="2"/>
  <c r="N105" i="2"/>
  <c r="Q105" i="2" s="1"/>
  <c r="M105" i="2"/>
  <c r="S105" i="2" s="1"/>
  <c r="I105" i="2"/>
  <c r="L105" i="2" s="1"/>
  <c r="F105" i="2"/>
  <c r="E105" i="2"/>
  <c r="H105" i="2" s="1"/>
  <c r="D105" i="2"/>
  <c r="R104" i="2"/>
  <c r="N104" i="2"/>
  <c r="M104" i="2"/>
  <c r="I104" i="2"/>
  <c r="E104" i="2"/>
  <c r="D104" i="2"/>
  <c r="S103" i="2"/>
  <c r="U103" i="2" s="1"/>
  <c r="R103" i="2"/>
  <c r="N103" i="2"/>
  <c r="M103" i="2"/>
  <c r="I103" i="2"/>
  <c r="F103" i="2"/>
  <c r="H103" i="2" s="1"/>
  <c r="E103" i="2"/>
  <c r="D103" i="2"/>
  <c r="J103" i="2" s="1"/>
  <c r="L103" i="2" s="1"/>
  <c r="R102" i="2"/>
  <c r="N102" i="2"/>
  <c r="M102" i="2"/>
  <c r="I102" i="2"/>
  <c r="I111" i="2" s="1"/>
  <c r="E102" i="2"/>
  <c r="D102" i="2"/>
  <c r="F102" i="2" s="1"/>
  <c r="H102" i="2" s="1"/>
  <c r="R101" i="2"/>
  <c r="N101" i="2"/>
  <c r="M101" i="2"/>
  <c r="I101" i="2"/>
  <c r="E101" i="2"/>
  <c r="D101" i="2"/>
  <c r="R100" i="2"/>
  <c r="N100" i="2"/>
  <c r="N111" i="2" s="1"/>
  <c r="M100" i="2"/>
  <c r="I100" i="2"/>
  <c r="E100" i="2"/>
  <c r="D100" i="2"/>
  <c r="J100" i="2" s="1"/>
  <c r="L100" i="2" s="1"/>
  <c r="B99" i="2"/>
  <c r="R98" i="2"/>
  <c r="U98" i="2" s="1"/>
  <c r="Q98" i="2"/>
  <c r="N98" i="2"/>
  <c r="O98" i="2" s="1"/>
  <c r="M98" i="2"/>
  <c r="I98" i="2"/>
  <c r="L98" i="2" s="1"/>
  <c r="E98" i="2"/>
  <c r="H98" i="2" s="1"/>
  <c r="D98" i="2"/>
  <c r="J98" i="2" s="1"/>
  <c r="R97" i="2"/>
  <c r="N97" i="2"/>
  <c r="M97" i="2"/>
  <c r="I97" i="2"/>
  <c r="E97" i="2"/>
  <c r="D97" i="2"/>
  <c r="J97" i="2" s="1"/>
  <c r="L97" i="2" s="1"/>
  <c r="R96" i="2"/>
  <c r="N96" i="2"/>
  <c r="M96" i="2"/>
  <c r="O96" i="2" s="1"/>
  <c r="Q96" i="2" s="1"/>
  <c r="J96" i="2"/>
  <c r="L96" i="2" s="1"/>
  <c r="I96" i="2"/>
  <c r="E96" i="2"/>
  <c r="D96" i="2"/>
  <c r="F96" i="2" s="1"/>
  <c r="H96" i="2" s="1"/>
  <c r="R95" i="2"/>
  <c r="N95" i="2"/>
  <c r="M95" i="2"/>
  <c r="S95" i="2" s="1"/>
  <c r="U95" i="2" s="1"/>
  <c r="I95" i="2"/>
  <c r="J95" i="2" s="1"/>
  <c r="L95" i="2" s="1"/>
  <c r="E95" i="2"/>
  <c r="D95" i="2"/>
  <c r="F95" i="2" s="1"/>
  <c r="H95" i="2" s="1"/>
  <c r="R94" i="2"/>
  <c r="N94" i="2"/>
  <c r="Q94" i="2" s="1"/>
  <c r="M94" i="2"/>
  <c r="S94" i="2" s="1"/>
  <c r="U94" i="2" s="1"/>
  <c r="I94" i="2"/>
  <c r="E94" i="2"/>
  <c r="H94" i="2" s="1"/>
  <c r="D94" i="2"/>
  <c r="J94" i="2" s="1"/>
  <c r="L94" i="2" s="1"/>
  <c r="S93" i="2"/>
  <c r="U93" i="2" s="1"/>
  <c r="R93" i="2"/>
  <c r="N93" i="2"/>
  <c r="Q93" i="2" s="1"/>
  <c r="M93" i="2"/>
  <c r="I93" i="2"/>
  <c r="H93" i="2"/>
  <c r="E93" i="2"/>
  <c r="D93" i="2"/>
  <c r="F93" i="2" s="1"/>
  <c r="R92" i="2"/>
  <c r="U92" i="2" s="1"/>
  <c r="N92" i="2"/>
  <c r="Q92" i="2" s="1"/>
  <c r="M92" i="2"/>
  <c r="S92" i="2" s="1"/>
  <c r="I92" i="2"/>
  <c r="L92" i="2" s="1"/>
  <c r="E92" i="2"/>
  <c r="H92" i="2" s="1"/>
  <c r="D92" i="2"/>
  <c r="J92" i="2" s="1"/>
  <c r="R91" i="2"/>
  <c r="N91" i="2"/>
  <c r="M91" i="2"/>
  <c r="S91" i="2" s="1"/>
  <c r="U91" i="2" s="1"/>
  <c r="I91" i="2"/>
  <c r="E91" i="2"/>
  <c r="D91" i="2"/>
  <c r="R90" i="2"/>
  <c r="N90" i="2"/>
  <c r="M90" i="2"/>
  <c r="O90" i="2" s="1"/>
  <c r="Q90" i="2" s="1"/>
  <c r="I90" i="2"/>
  <c r="E90" i="2"/>
  <c r="F90" i="2" s="1"/>
  <c r="H90" i="2" s="1"/>
  <c r="D90" i="2"/>
  <c r="S89" i="2"/>
  <c r="U89" i="2" s="1"/>
  <c r="R89" i="2"/>
  <c r="Q89" i="2"/>
  <c r="N89" i="2"/>
  <c r="M89" i="2"/>
  <c r="O89" i="2" s="1"/>
  <c r="I89" i="2"/>
  <c r="E89" i="2"/>
  <c r="H89" i="2" s="1"/>
  <c r="D89" i="2"/>
  <c r="J89" i="2" s="1"/>
  <c r="L89" i="2" s="1"/>
  <c r="B88" i="2"/>
  <c r="R87" i="2"/>
  <c r="N87" i="2"/>
  <c r="Q87" i="2" s="1"/>
  <c r="M87" i="2"/>
  <c r="O87" i="2" s="1"/>
  <c r="I87" i="2"/>
  <c r="E87" i="2"/>
  <c r="H87" i="2" s="1"/>
  <c r="D87" i="2"/>
  <c r="J87" i="2" s="1"/>
  <c r="L87" i="2" s="1"/>
  <c r="R86" i="2"/>
  <c r="R88" i="2" s="1"/>
  <c r="N86" i="2"/>
  <c r="Q86" i="2" s="1"/>
  <c r="M86" i="2"/>
  <c r="O86" i="2" s="1"/>
  <c r="I86" i="2"/>
  <c r="E86" i="2"/>
  <c r="H86" i="2" s="1"/>
  <c r="D86" i="2"/>
  <c r="D88" i="2" s="1"/>
  <c r="N85" i="2"/>
  <c r="B85" i="2"/>
  <c r="R84" i="2"/>
  <c r="R85" i="2" s="1"/>
  <c r="N84" i="2"/>
  <c r="M84" i="2"/>
  <c r="O84" i="2" s="1"/>
  <c r="Q84" i="2" s="1"/>
  <c r="I84" i="2"/>
  <c r="E84" i="2"/>
  <c r="D84" i="2"/>
  <c r="R83" i="2"/>
  <c r="N83" i="2"/>
  <c r="M83" i="2"/>
  <c r="O83" i="2" s="1"/>
  <c r="Q83" i="2" s="1"/>
  <c r="I83" i="2"/>
  <c r="I85" i="2" s="1"/>
  <c r="F83" i="2"/>
  <c r="H83" i="2" s="1"/>
  <c r="E83" i="2"/>
  <c r="E85" i="2" s="1"/>
  <c r="D83" i="2"/>
  <c r="B82" i="2"/>
  <c r="R81" i="2"/>
  <c r="N81" i="2"/>
  <c r="Q81" i="2" s="1"/>
  <c r="M81" i="2"/>
  <c r="I81" i="2"/>
  <c r="E81" i="2"/>
  <c r="H81" i="2" s="1"/>
  <c r="D81" i="2"/>
  <c r="J81" i="2" s="1"/>
  <c r="L81" i="2" s="1"/>
  <c r="R80" i="2"/>
  <c r="S80" i="2" s="1"/>
  <c r="U80" i="2" s="1"/>
  <c r="N80" i="2"/>
  <c r="O80" i="2" s="1"/>
  <c r="Q80" i="2" s="1"/>
  <c r="M80" i="2"/>
  <c r="I80" i="2"/>
  <c r="E80" i="2"/>
  <c r="E82" i="2" s="1"/>
  <c r="D80" i="2"/>
  <c r="R79" i="2"/>
  <c r="U79" i="2" s="1"/>
  <c r="N79" i="2"/>
  <c r="M79" i="2"/>
  <c r="S79" i="2" s="1"/>
  <c r="I79" i="2"/>
  <c r="I82" i="2" s="1"/>
  <c r="F79" i="2"/>
  <c r="E79" i="2"/>
  <c r="H79" i="2" s="1"/>
  <c r="D79" i="2"/>
  <c r="B78" i="2"/>
  <c r="S77" i="2"/>
  <c r="U77" i="2" s="1"/>
  <c r="R77" i="2"/>
  <c r="N77" i="2"/>
  <c r="M77" i="2"/>
  <c r="I77" i="2"/>
  <c r="F77" i="2"/>
  <c r="E77" i="2"/>
  <c r="H77" i="2" s="1"/>
  <c r="D77" i="2"/>
  <c r="J77" i="2" s="1"/>
  <c r="L77" i="2" s="1"/>
  <c r="R76" i="2"/>
  <c r="N76" i="2"/>
  <c r="M76" i="2"/>
  <c r="S76" i="2" s="1"/>
  <c r="I76" i="2"/>
  <c r="E76" i="2"/>
  <c r="D76" i="2"/>
  <c r="F76" i="2" s="1"/>
  <c r="H76" i="2" s="1"/>
  <c r="S75" i="2"/>
  <c r="U75" i="2" s="1"/>
  <c r="R75" i="2"/>
  <c r="O75" i="2"/>
  <c r="Q75" i="2" s="1"/>
  <c r="N75" i="2"/>
  <c r="M75" i="2"/>
  <c r="I75" i="2"/>
  <c r="E75" i="2"/>
  <c r="D75" i="2"/>
  <c r="J75" i="2" s="1"/>
  <c r="L75" i="2" s="1"/>
  <c r="R74" i="2"/>
  <c r="U74" i="2" s="1"/>
  <c r="N74" i="2"/>
  <c r="M74" i="2"/>
  <c r="L74" i="2"/>
  <c r="I74" i="2"/>
  <c r="F74" i="2"/>
  <c r="H74" i="2" s="1"/>
  <c r="E74" i="2"/>
  <c r="D74" i="2"/>
  <c r="J74" i="2" s="1"/>
  <c r="R73" i="2"/>
  <c r="S73" i="2" s="1"/>
  <c r="U73" i="2" s="1"/>
  <c r="N73" i="2"/>
  <c r="O73" i="2" s="1"/>
  <c r="Q73" i="2" s="1"/>
  <c r="M73" i="2"/>
  <c r="I73" i="2"/>
  <c r="F73" i="2"/>
  <c r="H73" i="2" s="1"/>
  <c r="E73" i="2"/>
  <c r="D73" i="2"/>
  <c r="J73" i="2" s="1"/>
  <c r="L73" i="2" s="1"/>
  <c r="S72" i="2"/>
  <c r="U72" i="2" s="1"/>
  <c r="R72" i="2"/>
  <c r="O72" i="2"/>
  <c r="Q72" i="2" s="1"/>
  <c r="N72" i="2"/>
  <c r="M72" i="2"/>
  <c r="I72" i="2"/>
  <c r="J72" i="2" s="1"/>
  <c r="L72" i="2" s="1"/>
  <c r="E72" i="2"/>
  <c r="F72" i="2" s="1"/>
  <c r="H72" i="2" s="1"/>
  <c r="D72" i="2"/>
  <c r="R71" i="2"/>
  <c r="N71" i="2"/>
  <c r="M71" i="2"/>
  <c r="S71" i="2" s="1"/>
  <c r="U71" i="2" s="1"/>
  <c r="J71" i="2"/>
  <c r="L71" i="2" s="1"/>
  <c r="I71" i="2"/>
  <c r="E71" i="2"/>
  <c r="D71" i="2"/>
  <c r="F71" i="2" s="1"/>
  <c r="H71" i="2" s="1"/>
  <c r="R70" i="2"/>
  <c r="S70" i="2" s="1"/>
  <c r="U70" i="2" s="1"/>
  <c r="N70" i="2"/>
  <c r="O70" i="2" s="1"/>
  <c r="Q70" i="2" s="1"/>
  <c r="M70" i="2"/>
  <c r="J70" i="2"/>
  <c r="L70" i="2" s="1"/>
  <c r="I70" i="2"/>
  <c r="E70" i="2"/>
  <c r="D70" i="2"/>
  <c r="F70" i="2" s="1"/>
  <c r="H70" i="2" s="1"/>
  <c r="R69" i="2"/>
  <c r="N69" i="2"/>
  <c r="M69" i="2"/>
  <c r="I69" i="2"/>
  <c r="E69" i="2"/>
  <c r="F69" i="2" s="1"/>
  <c r="H69" i="2" s="1"/>
  <c r="D69" i="2"/>
  <c r="S68" i="2"/>
  <c r="U68" i="2" s="1"/>
  <c r="R68" i="2"/>
  <c r="O68" i="2"/>
  <c r="Q68" i="2" s="1"/>
  <c r="N68" i="2"/>
  <c r="M68" i="2"/>
  <c r="I68" i="2"/>
  <c r="J68" i="2" s="1"/>
  <c r="L68" i="2" s="1"/>
  <c r="E68" i="2"/>
  <c r="F68" i="2" s="1"/>
  <c r="H68" i="2" s="1"/>
  <c r="D68" i="2"/>
  <c r="B67" i="2"/>
  <c r="R66" i="2"/>
  <c r="N66" i="2"/>
  <c r="Q66" i="2" s="1"/>
  <c r="M66" i="2"/>
  <c r="S66" i="2" s="1"/>
  <c r="U66" i="2" s="1"/>
  <c r="I66" i="2"/>
  <c r="E66" i="2"/>
  <c r="H66" i="2" s="1"/>
  <c r="D66" i="2"/>
  <c r="R65" i="2"/>
  <c r="N65" i="2"/>
  <c r="Q65" i="2" s="1"/>
  <c r="M65" i="2"/>
  <c r="S65" i="2" s="1"/>
  <c r="U65" i="2" s="1"/>
  <c r="J65" i="2"/>
  <c r="L65" i="2" s="1"/>
  <c r="I65" i="2"/>
  <c r="H65" i="2"/>
  <c r="E65" i="2"/>
  <c r="D65" i="2"/>
  <c r="R64" i="2"/>
  <c r="N64" i="2"/>
  <c r="M64" i="2"/>
  <c r="S64" i="2" s="1"/>
  <c r="U64" i="2" s="1"/>
  <c r="I64" i="2"/>
  <c r="E64" i="2"/>
  <c r="F64" i="2" s="1"/>
  <c r="H64" i="2" s="1"/>
  <c r="D64" i="2"/>
  <c r="R63" i="2"/>
  <c r="Q63" i="2"/>
  <c r="N63" i="2"/>
  <c r="M63" i="2"/>
  <c r="S63" i="2" s="1"/>
  <c r="U63" i="2" s="1"/>
  <c r="I63" i="2"/>
  <c r="E63" i="2"/>
  <c r="D63" i="2"/>
  <c r="R62" i="2"/>
  <c r="O62" i="2"/>
  <c r="Q62" i="2" s="1"/>
  <c r="N62" i="2"/>
  <c r="M62" i="2"/>
  <c r="S62" i="2" s="1"/>
  <c r="U62" i="2" s="1"/>
  <c r="I62" i="2"/>
  <c r="J62" i="2" s="1"/>
  <c r="L62" i="2" s="1"/>
  <c r="E62" i="2"/>
  <c r="F62" i="2" s="1"/>
  <c r="H62" i="2" s="1"/>
  <c r="D62" i="2"/>
  <c r="R61" i="2"/>
  <c r="N61" i="2"/>
  <c r="M61" i="2"/>
  <c r="I61" i="2"/>
  <c r="E61" i="2"/>
  <c r="F61" i="2" s="1"/>
  <c r="H61" i="2" s="1"/>
  <c r="D61" i="2"/>
  <c r="R60" i="2"/>
  <c r="N60" i="2"/>
  <c r="M60" i="2"/>
  <c r="S60" i="2" s="1"/>
  <c r="U60" i="2" s="1"/>
  <c r="I60" i="2"/>
  <c r="E60" i="2"/>
  <c r="D60" i="2"/>
  <c r="J60" i="2" s="1"/>
  <c r="L60" i="2" s="1"/>
  <c r="R59" i="2"/>
  <c r="N59" i="2"/>
  <c r="M59" i="2"/>
  <c r="I59" i="2"/>
  <c r="E59" i="2"/>
  <c r="F59" i="2" s="1"/>
  <c r="H59" i="2" s="1"/>
  <c r="D59" i="2"/>
  <c r="J59" i="2" s="1"/>
  <c r="L59" i="2" s="1"/>
  <c r="R58" i="2"/>
  <c r="N58" i="2"/>
  <c r="M58" i="2"/>
  <c r="S58" i="2" s="1"/>
  <c r="U58" i="2" s="1"/>
  <c r="I58" i="2"/>
  <c r="E58" i="2"/>
  <c r="D58" i="2"/>
  <c r="F58" i="2" s="1"/>
  <c r="H58" i="2" s="1"/>
  <c r="U57" i="2"/>
  <c r="R57" i="2"/>
  <c r="Q57" i="2"/>
  <c r="N57" i="2"/>
  <c r="M57" i="2"/>
  <c r="S57" i="2" s="1"/>
  <c r="I57" i="2"/>
  <c r="L57" i="2" s="1"/>
  <c r="E57" i="2"/>
  <c r="F57" i="2" s="1"/>
  <c r="D57" i="2"/>
  <c r="J57" i="2" s="1"/>
  <c r="R56" i="2"/>
  <c r="N56" i="2"/>
  <c r="Q56" i="2" s="1"/>
  <c r="M56" i="2"/>
  <c r="O56" i="2" s="1"/>
  <c r="I56" i="2"/>
  <c r="E56" i="2"/>
  <c r="H56" i="2" s="1"/>
  <c r="D56" i="2"/>
  <c r="J56" i="2" s="1"/>
  <c r="L56" i="2" s="1"/>
  <c r="R55" i="2"/>
  <c r="S55" i="2" s="1"/>
  <c r="U55" i="2" s="1"/>
  <c r="N55" i="2"/>
  <c r="M55" i="2"/>
  <c r="O55" i="2" s="1"/>
  <c r="Q55" i="2" s="1"/>
  <c r="J55" i="2"/>
  <c r="L55" i="2" s="1"/>
  <c r="I55" i="2"/>
  <c r="E55" i="2"/>
  <c r="D55" i="2"/>
  <c r="R54" i="2"/>
  <c r="N54" i="2"/>
  <c r="M54" i="2"/>
  <c r="S54" i="2" s="1"/>
  <c r="U54" i="2" s="1"/>
  <c r="I54" i="2"/>
  <c r="E54" i="2"/>
  <c r="D54" i="2"/>
  <c r="F54" i="2" s="1"/>
  <c r="H54" i="2" s="1"/>
  <c r="R53" i="2"/>
  <c r="N53" i="2"/>
  <c r="Q53" i="2" s="1"/>
  <c r="M53" i="2"/>
  <c r="S53" i="2" s="1"/>
  <c r="U53" i="2" s="1"/>
  <c r="I53" i="2"/>
  <c r="E53" i="2"/>
  <c r="H53" i="2" s="1"/>
  <c r="D53" i="2"/>
  <c r="J53" i="2" s="1"/>
  <c r="L53" i="2" s="1"/>
  <c r="R52" i="2"/>
  <c r="N52" i="2"/>
  <c r="N67" i="2" s="1"/>
  <c r="M52" i="2"/>
  <c r="I52" i="2"/>
  <c r="F52" i="2"/>
  <c r="H52" i="2" s="1"/>
  <c r="E52" i="2"/>
  <c r="D52" i="2"/>
  <c r="J52" i="2" s="1"/>
  <c r="B50" i="2"/>
  <c r="R49" i="2"/>
  <c r="N49" i="2"/>
  <c r="M49" i="2"/>
  <c r="I49" i="2"/>
  <c r="E49" i="2"/>
  <c r="D49" i="2"/>
  <c r="R48" i="2"/>
  <c r="S48" i="2" s="1"/>
  <c r="U48" i="2" s="1"/>
  <c r="N48" i="2"/>
  <c r="O48" i="2" s="1"/>
  <c r="Q48" i="2" s="1"/>
  <c r="M48" i="2"/>
  <c r="J48" i="2"/>
  <c r="L48" i="2" s="1"/>
  <c r="I48" i="2"/>
  <c r="E48" i="2"/>
  <c r="D48" i="2"/>
  <c r="R47" i="2"/>
  <c r="N47" i="2"/>
  <c r="M47" i="2"/>
  <c r="O47" i="2" s="1"/>
  <c r="Q47" i="2" s="1"/>
  <c r="I47" i="2"/>
  <c r="J47" i="2" s="1"/>
  <c r="L47" i="2" s="1"/>
  <c r="E47" i="2"/>
  <c r="D47" i="2"/>
  <c r="R46" i="2"/>
  <c r="N46" i="2"/>
  <c r="Q46" i="2" s="1"/>
  <c r="M46" i="2"/>
  <c r="O46" i="2" s="1"/>
  <c r="I46" i="2"/>
  <c r="E46" i="2"/>
  <c r="H46" i="2" s="1"/>
  <c r="D46" i="2"/>
  <c r="J46" i="2" s="1"/>
  <c r="L46" i="2" s="1"/>
  <c r="B42" i="2"/>
  <c r="R41" i="2"/>
  <c r="Q41" i="2"/>
  <c r="N41" i="2"/>
  <c r="M41" i="2"/>
  <c r="O41" i="2" s="1"/>
  <c r="I41" i="2"/>
  <c r="H41" i="2"/>
  <c r="E41" i="2"/>
  <c r="D41" i="2"/>
  <c r="R40" i="2"/>
  <c r="N40" i="2"/>
  <c r="M40" i="2"/>
  <c r="O40" i="2" s="1"/>
  <c r="Q40" i="2" s="1"/>
  <c r="I40" i="2"/>
  <c r="E40" i="2"/>
  <c r="D40" i="2"/>
  <c r="J40" i="2" s="1"/>
  <c r="L40" i="2" s="1"/>
  <c r="R39" i="2"/>
  <c r="N39" i="2"/>
  <c r="M39" i="2"/>
  <c r="I39" i="2"/>
  <c r="E39" i="2"/>
  <c r="D39" i="2"/>
  <c r="F39" i="2" s="1"/>
  <c r="H39" i="2" s="1"/>
  <c r="U38" i="2"/>
  <c r="R38" i="2"/>
  <c r="N38" i="2"/>
  <c r="Q38" i="2" s="1"/>
  <c r="M38" i="2"/>
  <c r="I38" i="2"/>
  <c r="L38" i="2" s="1"/>
  <c r="E38" i="2"/>
  <c r="H38" i="2" s="1"/>
  <c r="D38" i="2"/>
  <c r="F38" i="2" s="1"/>
  <c r="N37" i="2"/>
  <c r="B37" i="2"/>
  <c r="R36" i="2"/>
  <c r="N36" i="2"/>
  <c r="M36" i="2"/>
  <c r="I36" i="2"/>
  <c r="E36" i="2"/>
  <c r="D36" i="2"/>
  <c r="R35" i="2"/>
  <c r="U35" i="2" s="1"/>
  <c r="N35" i="2"/>
  <c r="M35" i="2"/>
  <c r="L35" i="2"/>
  <c r="I35" i="2"/>
  <c r="E35" i="2"/>
  <c r="D35" i="2"/>
  <c r="F35" i="2" s="1"/>
  <c r="H35" i="2" s="1"/>
  <c r="U34" i="2"/>
  <c r="R34" i="2"/>
  <c r="R37" i="2" s="1"/>
  <c r="Q34" i="2"/>
  <c r="O34" i="2"/>
  <c r="N34" i="2"/>
  <c r="M34" i="2"/>
  <c r="S34" i="2" s="1"/>
  <c r="I34" i="2"/>
  <c r="L34" i="2" s="1"/>
  <c r="H34" i="2"/>
  <c r="E34" i="2"/>
  <c r="F34" i="2" s="1"/>
  <c r="D34" i="2"/>
  <c r="R33" i="2"/>
  <c r="O33" i="2"/>
  <c r="Q33" i="2" s="1"/>
  <c r="N33" i="2"/>
  <c r="M33" i="2"/>
  <c r="S33" i="2" s="1"/>
  <c r="U33" i="2" s="1"/>
  <c r="I33" i="2"/>
  <c r="J33" i="2" s="1"/>
  <c r="L33" i="2" s="1"/>
  <c r="E33" i="2"/>
  <c r="D33" i="2"/>
  <c r="B32" i="2"/>
  <c r="R31" i="2"/>
  <c r="N31" i="2"/>
  <c r="M31" i="2"/>
  <c r="S31" i="2" s="1"/>
  <c r="U31" i="2" s="1"/>
  <c r="I31" i="2"/>
  <c r="E31" i="2"/>
  <c r="D31" i="2"/>
  <c r="R30" i="2"/>
  <c r="U30" i="2" s="1"/>
  <c r="N30" i="2"/>
  <c r="Q30" i="2" s="1"/>
  <c r="M30" i="2"/>
  <c r="S30" i="2" s="1"/>
  <c r="I30" i="2"/>
  <c r="L30" i="2" s="1"/>
  <c r="E30" i="2"/>
  <c r="H30" i="2" s="1"/>
  <c r="D30" i="2"/>
  <c r="R29" i="2"/>
  <c r="U29" i="2" s="1"/>
  <c r="N29" i="2"/>
  <c r="Q29" i="2" s="1"/>
  <c r="M29" i="2"/>
  <c r="O29" i="2" s="1"/>
  <c r="L29" i="2"/>
  <c r="I29" i="2"/>
  <c r="H29" i="2"/>
  <c r="E29" i="2"/>
  <c r="D29" i="2"/>
  <c r="R28" i="2"/>
  <c r="N28" i="2"/>
  <c r="M28" i="2"/>
  <c r="I28" i="2"/>
  <c r="E28" i="2"/>
  <c r="D28" i="2"/>
  <c r="D32" i="2" s="1"/>
  <c r="R27" i="2"/>
  <c r="N27" i="2"/>
  <c r="N32" i="2" s="1"/>
  <c r="M27" i="2"/>
  <c r="S27" i="2" s="1"/>
  <c r="U27" i="2" s="1"/>
  <c r="I27" i="2"/>
  <c r="E27" i="2"/>
  <c r="E32" i="2" s="1"/>
  <c r="D27" i="2"/>
  <c r="B25" i="2"/>
  <c r="S24" i="2"/>
  <c r="U24" i="2" s="1"/>
  <c r="R24" i="2"/>
  <c r="N24" i="2"/>
  <c r="M24" i="2"/>
  <c r="O24" i="2" s="1"/>
  <c r="Q24" i="2" s="1"/>
  <c r="I24" i="2"/>
  <c r="E24" i="2"/>
  <c r="D24" i="2"/>
  <c r="R23" i="2"/>
  <c r="Q23" i="2"/>
  <c r="N23" i="2"/>
  <c r="M23" i="2"/>
  <c r="I23" i="2"/>
  <c r="E23" i="2"/>
  <c r="H23" i="2" s="1"/>
  <c r="D23" i="2"/>
  <c r="J23" i="2" s="1"/>
  <c r="L23" i="2" s="1"/>
  <c r="R22" i="2"/>
  <c r="N22" i="2"/>
  <c r="M22" i="2"/>
  <c r="I22" i="2"/>
  <c r="E22" i="2"/>
  <c r="H22" i="2" s="1"/>
  <c r="D22" i="2"/>
  <c r="J22" i="2" s="1"/>
  <c r="L22" i="2" s="1"/>
  <c r="R21" i="2"/>
  <c r="N21" i="2"/>
  <c r="Q21" i="2" s="1"/>
  <c r="M21" i="2"/>
  <c r="I21" i="2"/>
  <c r="I25" i="2" s="1"/>
  <c r="I26" i="2" s="1"/>
  <c r="E21" i="2"/>
  <c r="D21" i="2"/>
  <c r="F21" i="2" s="1"/>
  <c r="B19" i="2"/>
  <c r="R18" i="2"/>
  <c r="U18" i="2" s="1"/>
  <c r="N18" i="2"/>
  <c r="Q18" i="2" s="1"/>
  <c r="M18" i="2"/>
  <c r="S18" i="2" s="1"/>
  <c r="I18" i="2"/>
  <c r="L18" i="2" s="1"/>
  <c r="E18" i="2"/>
  <c r="H18" i="2" s="1"/>
  <c r="D18" i="2"/>
  <c r="J18" i="2" s="1"/>
  <c r="R17" i="2"/>
  <c r="N17" i="2"/>
  <c r="Q17" i="2" s="1"/>
  <c r="M17" i="2"/>
  <c r="S17" i="2" s="1"/>
  <c r="U17" i="2" s="1"/>
  <c r="I17" i="2"/>
  <c r="E17" i="2"/>
  <c r="H17" i="2" s="1"/>
  <c r="D17" i="2"/>
  <c r="R16" i="2"/>
  <c r="N16" i="2"/>
  <c r="Q16" i="2" s="1"/>
  <c r="M16" i="2"/>
  <c r="I16" i="2"/>
  <c r="E16" i="2"/>
  <c r="H16" i="2" s="1"/>
  <c r="D16" i="2"/>
  <c r="J16" i="2" s="1"/>
  <c r="L16" i="2" s="1"/>
  <c r="S15" i="2"/>
  <c r="R15" i="2"/>
  <c r="N15" i="2"/>
  <c r="M15" i="2"/>
  <c r="O15" i="2" s="1"/>
  <c r="Q15" i="2" s="1"/>
  <c r="I15" i="2"/>
  <c r="E15" i="2"/>
  <c r="E19" i="2" s="1"/>
  <c r="D15" i="2"/>
  <c r="B14" i="2"/>
  <c r="I34" i="1" s="1"/>
  <c r="R13" i="2"/>
  <c r="N13" i="2"/>
  <c r="O13" i="2" s="1"/>
  <c r="Q13" i="2" s="1"/>
  <c r="M13" i="2"/>
  <c r="I13" i="2"/>
  <c r="E13" i="2"/>
  <c r="D13" i="2"/>
  <c r="J13" i="2" s="1"/>
  <c r="L13" i="2" s="1"/>
  <c r="U12" i="2"/>
  <c r="R12" i="2"/>
  <c r="N12" i="2"/>
  <c r="M12" i="2"/>
  <c r="I12" i="2"/>
  <c r="L12" i="2" s="1"/>
  <c r="F12" i="2"/>
  <c r="H12" i="2" s="1"/>
  <c r="E12" i="2"/>
  <c r="E14" i="2" s="1"/>
  <c r="D12" i="2"/>
  <c r="D14" i="2" s="1"/>
  <c r="B9" i="2"/>
  <c r="E7" i="2"/>
  <c r="C7" i="2"/>
  <c r="E6" i="2"/>
  <c r="C6" i="2"/>
  <c r="E5" i="2"/>
  <c r="C5" i="2"/>
  <c r="A231" i="10"/>
  <c r="I230" i="10"/>
  <c r="F230" i="10"/>
  <c r="E230" i="10"/>
  <c r="D230" i="10"/>
  <c r="C230" i="10"/>
  <c r="I228" i="10"/>
  <c r="F228" i="10"/>
  <c r="E228" i="10"/>
  <c r="D228" i="10"/>
  <c r="C228" i="10"/>
  <c r="I227" i="10"/>
  <c r="F227" i="10"/>
  <c r="E227" i="10"/>
  <c r="D227" i="10"/>
  <c r="C227" i="10"/>
  <c r="I226" i="10"/>
  <c r="F226" i="10"/>
  <c r="E226" i="10"/>
  <c r="D226" i="10"/>
  <c r="C226" i="10"/>
  <c r="I225" i="10"/>
  <c r="F225" i="10"/>
  <c r="E225" i="10"/>
  <c r="D225" i="10"/>
  <c r="C225" i="10"/>
  <c r="I223" i="10"/>
  <c r="F223" i="10"/>
  <c r="E223" i="10"/>
  <c r="D223" i="10"/>
  <c r="C223" i="10"/>
  <c r="C220" i="10"/>
  <c r="A220" i="10"/>
  <c r="I220" i="10" s="1"/>
  <c r="I219" i="10"/>
  <c r="F219" i="10"/>
  <c r="E219" i="10"/>
  <c r="D219" i="10"/>
  <c r="C219" i="10"/>
  <c r="I218" i="10"/>
  <c r="F218" i="10"/>
  <c r="E218" i="10"/>
  <c r="D218" i="10"/>
  <c r="C218" i="10"/>
  <c r="I217" i="10"/>
  <c r="F217" i="10"/>
  <c r="E217" i="10"/>
  <c r="D217" i="10"/>
  <c r="C217" i="10"/>
  <c r="I216" i="10"/>
  <c r="F216" i="10"/>
  <c r="E216" i="10"/>
  <c r="D216" i="10"/>
  <c r="C216" i="10"/>
  <c r="I215" i="10"/>
  <c r="F215" i="10"/>
  <c r="E215" i="10"/>
  <c r="D215" i="10"/>
  <c r="C215" i="10"/>
  <c r="I213" i="10"/>
  <c r="F213" i="10"/>
  <c r="E213" i="10"/>
  <c r="D213" i="10"/>
  <c r="C213" i="10"/>
  <c r="I212" i="10"/>
  <c r="F212" i="10"/>
  <c r="E212" i="10"/>
  <c r="D212" i="10"/>
  <c r="C212" i="10"/>
  <c r="F210" i="10"/>
  <c r="E210" i="10"/>
  <c r="A210" i="10"/>
  <c r="I209" i="10"/>
  <c r="F209" i="10"/>
  <c r="E209" i="10"/>
  <c r="D209" i="10"/>
  <c r="C209" i="10"/>
  <c r="I208" i="10"/>
  <c r="F208" i="10"/>
  <c r="E208" i="10"/>
  <c r="D208" i="10"/>
  <c r="C208" i="10"/>
  <c r="I207" i="10"/>
  <c r="F207" i="10"/>
  <c r="E207" i="10"/>
  <c r="D207" i="10"/>
  <c r="C207" i="10"/>
  <c r="I206" i="10"/>
  <c r="F206" i="10"/>
  <c r="E206" i="10"/>
  <c r="D206" i="10"/>
  <c r="C206" i="10"/>
  <c r="I205" i="10"/>
  <c r="F205" i="10"/>
  <c r="E205" i="10"/>
  <c r="D205" i="10"/>
  <c r="C205" i="10"/>
  <c r="I204" i="10"/>
  <c r="F204" i="10"/>
  <c r="E204" i="10"/>
  <c r="D204" i="10"/>
  <c r="C204" i="10"/>
  <c r="I203" i="10"/>
  <c r="F203" i="10"/>
  <c r="E203" i="10"/>
  <c r="D203" i="10"/>
  <c r="C203" i="10"/>
  <c r="I201" i="10"/>
  <c r="F201" i="10"/>
  <c r="E201" i="10"/>
  <c r="D201" i="10"/>
  <c r="C201" i="10"/>
  <c r="I198" i="10"/>
  <c r="C198" i="10"/>
  <c r="A198" i="10"/>
  <c r="I197" i="10"/>
  <c r="F197" i="10"/>
  <c r="E197" i="10"/>
  <c r="D197" i="10"/>
  <c r="C197" i="10"/>
  <c r="I196" i="10"/>
  <c r="F196" i="10"/>
  <c r="E196" i="10"/>
  <c r="D196" i="10"/>
  <c r="C196" i="10"/>
  <c r="A195" i="10"/>
  <c r="I195" i="10" s="1"/>
  <c r="I194" i="10"/>
  <c r="F194" i="10"/>
  <c r="E194" i="10"/>
  <c r="D194" i="10"/>
  <c r="C194" i="10"/>
  <c r="I193" i="10"/>
  <c r="F193" i="10"/>
  <c r="E193" i="10"/>
  <c r="D193" i="10"/>
  <c r="C193" i="10"/>
  <c r="I192" i="10"/>
  <c r="F192" i="10"/>
  <c r="E192" i="10"/>
  <c r="D192" i="10"/>
  <c r="C192" i="10"/>
  <c r="I191" i="10"/>
  <c r="F191" i="10"/>
  <c r="E191" i="10"/>
  <c r="D191" i="10"/>
  <c r="C191" i="10"/>
  <c r="I190" i="10"/>
  <c r="F190" i="10"/>
  <c r="E190" i="10"/>
  <c r="D190" i="10"/>
  <c r="C190" i="10"/>
  <c r="I189" i="10"/>
  <c r="F189" i="10"/>
  <c r="E189" i="10"/>
  <c r="D189" i="10"/>
  <c r="C189" i="10"/>
  <c r="I188" i="10"/>
  <c r="F188" i="10"/>
  <c r="E188" i="10"/>
  <c r="D188" i="10"/>
  <c r="C188" i="10"/>
  <c r="I187" i="10"/>
  <c r="F187" i="10"/>
  <c r="E187" i="10"/>
  <c r="D187" i="10"/>
  <c r="C187" i="10"/>
  <c r="I186" i="10"/>
  <c r="F186" i="10"/>
  <c r="E186" i="10"/>
  <c r="D186" i="10"/>
  <c r="C186" i="10"/>
  <c r="A185" i="10"/>
  <c r="E185" i="10" s="1"/>
  <c r="I184" i="10"/>
  <c r="F184" i="10"/>
  <c r="E184" i="10"/>
  <c r="D184" i="10"/>
  <c r="C184" i="10"/>
  <c r="I183" i="10"/>
  <c r="F183" i="10"/>
  <c r="E183" i="10"/>
  <c r="D183" i="10"/>
  <c r="C183" i="10"/>
  <c r="A182" i="10"/>
  <c r="I181" i="10"/>
  <c r="F181" i="10"/>
  <c r="E181" i="10"/>
  <c r="D181" i="10"/>
  <c r="C181" i="10"/>
  <c r="I180" i="10"/>
  <c r="F180" i="10"/>
  <c r="E180" i="10"/>
  <c r="D180" i="10"/>
  <c r="C180" i="10"/>
  <c r="I179" i="10"/>
  <c r="F179" i="10"/>
  <c r="E179" i="10"/>
  <c r="D179" i="10"/>
  <c r="C179" i="10"/>
  <c r="I178" i="10"/>
  <c r="F178" i="10"/>
  <c r="E178" i="10"/>
  <c r="D178" i="10"/>
  <c r="C178" i="10"/>
  <c r="I177" i="10"/>
  <c r="F177" i="10"/>
  <c r="E177" i="10"/>
  <c r="D177" i="10"/>
  <c r="C177" i="10"/>
  <c r="I176" i="10"/>
  <c r="F176" i="10"/>
  <c r="E176" i="10"/>
  <c r="D176" i="10"/>
  <c r="C176" i="10"/>
  <c r="I175" i="10"/>
  <c r="F175" i="10"/>
  <c r="E175" i="10"/>
  <c r="D175" i="10"/>
  <c r="C175" i="10"/>
  <c r="I174" i="10"/>
  <c r="F174" i="10"/>
  <c r="E174" i="10"/>
  <c r="D174" i="10"/>
  <c r="C174" i="10"/>
  <c r="I173" i="10"/>
  <c r="F173" i="10"/>
  <c r="E173" i="10"/>
  <c r="D173" i="10"/>
  <c r="C173" i="10"/>
  <c r="I172" i="10"/>
  <c r="F172" i="10"/>
  <c r="E172" i="10"/>
  <c r="D172" i="10"/>
  <c r="C172" i="10"/>
  <c r="I171" i="10"/>
  <c r="F171" i="10"/>
  <c r="E171" i="10"/>
  <c r="D171" i="10"/>
  <c r="C171" i="10"/>
  <c r="E170" i="10"/>
  <c r="D170" i="10"/>
  <c r="C170" i="10"/>
  <c r="A170" i="10"/>
  <c r="I169" i="10"/>
  <c r="F169" i="10"/>
  <c r="E169" i="10"/>
  <c r="D169" i="10"/>
  <c r="C169" i="10"/>
  <c r="I168" i="10"/>
  <c r="F168" i="10"/>
  <c r="E168" i="10"/>
  <c r="D168" i="10"/>
  <c r="C168" i="10"/>
  <c r="A167" i="10"/>
  <c r="I167" i="10" s="1"/>
  <c r="I166" i="10"/>
  <c r="F166" i="10"/>
  <c r="E166" i="10"/>
  <c r="D166" i="10"/>
  <c r="C166" i="10"/>
  <c r="I165" i="10"/>
  <c r="F165" i="10"/>
  <c r="E165" i="10"/>
  <c r="D165" i="10"/>
  <c r="C165" i="10"/>
  <c r="I164" i="10"/>
  <c r="F164" i="10"/>
  <c r="E164" i="10"/>
  <c r="D164" i="10"/>
  <c r="C164" i="10"/>
  <c r="I163" i="10"/>
  <c r="F163" i="10"/>
  <c r="E163" i="10"/>
  <c r="D163" i="10"/>
  <c r="C163" i="10"/>
  <c r="I162" i="10"/>
  <c r="F162" i="10"/>
  <c r="E162" i="10"/>
  <c r="D162" i="10"/>
  <c r="C162" i="10"/>
  <c r="I161" i="10"/>
  <c r="F161" i="10"/>
  <c r="E161" i="10"/>
  <c r="D161" i="10"/>
  <c r="C161" i="10"/>
  <c r="I160" i="10"/>
  <c r="F160" i="10"/>
  <c r="E160" i="10"/>
  <c r="D160" i="10"/>
  <c r="C160" i="10"/>
  <c r="I159" i="10"/>
  <c r="D159" i="10"/>
  <c r="A159" i="10"/>
  <c r="E159" i="10" s="1"/>
  <c r="I158" i="10"/>
  <c r="F158" i="10"/>
  <c r="E158" i="10"/>
  <c r="D158" i="10"/>
  <c r="C158" i="10"/>
  <c r="I157" i="10"/>
  <c r="F157" i="10"/>
  <c r="E157" i="10"/>
  <c r="D157" i="10"/>
  <c r="C157" i="10"/>
  <c r="I156" i="10"/>
  <c r="F156" i="10"/>
  <c r="E156" i="10"/>
  <c r="D156" i="10"/>
  <c r="C156" i="10"/>
  <c r="I155" i="10"/>
  <c r="F155" i="10"/>
  <c r="E155" i="10"/>
  <c r="D155" i="10"/>
  <c r="C155" i="10"/>
  <c r="A154" i="10"/>
  <c r="I153" i="10"/>
  <c r="F153" i="10"/>
  <c r="E153" i="10"/>
  <c r="D153" i="10"/>
  <c r="C153" i="10"/>
  <c r="I152" i="10"/>
  <c r="F152" i="10"/>
  <c r="E152" i="10"/>
  <c r="D152" i="10"/>
  <c r="C152" i="10"/>
  <c r="I151" i="10"/>
  <c r="F151" i="10"/>
  <c r="E151" i="10"/>
  <c r="D151" i="10"/>
  <c r="C151" i="10"/>
  <c r="I150" i="10"/>
  <c r="F150" i="10"/>
  <c r="E150" i="10"/>
  <c r="D150" i="10"/>
  <c r="C150" i="10"/>
  <c r="I149" i="10"/>
  <c r="F149" i="10"/>
  <c r="E149" i="10"/>
  <c r="D149" i="10"/>
  <c r="C149" i="10"/>
  <c r="I148" i="10"/>
  <c r="F148" i="10"/>
  <c r="E148" i="10"/>
  <c r="D148" i="10"/>
  <c r="C148" i="10"/>
  <c r="A148" i="10"/>
  <c r="I147" i="10"/>
  <c r="F147" i="10"/>
  <c r="E147" i="10"/>
  <c r="D147" i="10"/>
  <c r="C147" i="10"/>
  <c r="I146" i="10"/>
  <c r="F146" i="10"/>
  <c r="E146" i="10"/>
  <c r="D146" i="10"/>
  <c r="C146" i="10"/>
  <c r="I145" i="10"/>
  <c r="F145" i="10"/>
  <c r="E145" i="10"/>
  <c r="D145" i="10"/>
  <c r="C145" i="10"/>
  <c r="I144" i="10"/>
  <c r="F144" i="10"/>
  <c r="E144" i="10"/>
  <c r="D144" i="10"/>
  <c r="C144" i="10"/>
  <c r="I143" i="10"/>
  <c r="F143" i="10"/>
  <c r="E143" i="10"/>
  <c r="D143" i="10"/>
  <c r="C143" i="10"/>
  <c r="I142" i="10"/>
  <c r="F142" i="10"/>
  <c r="E142" i="10"/>
  <c r="D142" i="10"/>
  <c r="C142" i="10"/>
  <c r="I141" i="10"/>
  <c r="F141" i="10"/>
  <c r="E141" i="10"/>
  <c r="D141" i="10"/>
  <c r="C141" i="10"/>
  <c r="A140" i="10"/>
  <c r="I140" i="10" s="1"/>
  <c r="I139" i="10"/>
  <c r="F139" i="10"/>
  <c r="E139" i="10"/>
  <c r="D139" i="10"/>
  <c r="C139" i="10"/>
  <c r="I138" i="10"/>
  <c r="F138" i="10"/>
  <c r="E138" i="10"/>
  <c r="D138" i="10"/>
  <c r="C138" i="10"/>
  <c r="I137" i="10"/>
  <c r="F137" i="10"/>
  <c r="E137" i="10"/>
  <c r="D137" i="10"/>
  <c r="C137" i="10"/>
  <c r="I136" i="10"/>
  <c r="F136" i="10"/>
  <c r="E136" i="10"/>
  <c r="D136" i="10"/>
  <c r="C136" i="10"/>
  <c r="A135" i="10"/>
  <c r="F135" i="10" s="1"/>
  <c r="I134" i="10"/>
  <c r="F134" i="10"/>
  <c r="E134" i="10"/>
  <c r="D134" i="10"/>
  <c r="C134" i="10"/>
  <c r="I133" i="10"/>
  <c r="F133" i="10"/>
  <c r="E133" i="10"/>
  <c r="D133" i="10"/>
  <c r="C133" i="10"/>
  <c r="I132" i="10"/>
  <c r="F132" i="10"/>
  <c r="E132" i="10"/>
  <c r="D132" i="10"/>
  <c r="C132" i="10"/>
  <c r="I131" i="10"/>
  <c r="F131" i="10"/>
  <c r="E131" i="10"/>
  <c r="D131" i="10"/>
  <c r="C131" i="10"/>
  <c r="A130" i="10"/>
  <c r="D130" i="10" s="1"/>
  <c r="I129" i="10"/>
  <c r="F129" i="10"/>
  <c r="E129" i="10"/>
  <c r="D129" i="10"/>
  <c r="C129" i="10"/>
  <c r="I128" i="10"/>
  <c r="F128" i="10"/>
  <c r="E128" i="10"/>
  <c r="D128" i="10"/>
  <c r="C128" i="10"/>
  <c r="I127" i="10"/>
  <c r="F127" i="10"/>
  <c r="E127" i="10"/>
  <c r="D127" i="10"/>
  <c r="C127" i="10"/>
  <c r="I126" i="10"/>
  <c r="F126" i="10"/>
  <c r="E126" i="10"/>
  <c r="D126" i="10"/>
  <c r="C126" i="10"/>
  <c r="I125" i="10"/>
  <c r="F125" i="10"/>
  <c r="E125" i="10"/>
  <c r="D125" i="10"/>
  <c r="C125" i="10"/>
  <c r="A124" i="10"/>
  <c r="E124" i="10" s="1"/>
  <c r="I123" i="10"/>
  <c r="F123" i="10"/>
  <c r="E123" i="10"/>
  <c r="D123" i="10"/>
  <c r="C123" i="10"/>
  <c r="I122" i="10"/>
  <c r="F122" i="10"/>
  <c r="E122" i="10"/>
  <c r="D122" i="10"/>
  <c r="C122" i="10"/>
  <c r="I121" i="10"/>
  <c r="F121" i="10"/>
  <c r="E121" i="10"/>
  <c r="D121" i="10"/>
  <c r="C121" i="10"/>
  <c r="I120" i="10"/>
  <c r="F120" i="10"/>
  <c r="E120" i="10"/>
  <c r="D120" i="10"/>
  <c r="C120" i="10"/>
  <c r="I119" i="10"/>
  <c r="F119" i="10"/>
  <c r="E119" i="10"/>
  <c r="D119" i="10"/>
  <c r="C119" i="10"/>
  <c r="A118" i="10"/>
  <c r="F118" i="10" s="1"/>
  <c r="I117" i="10"/>
  <c r="F117" i="10"/>
  <c r="E117" i="10"/>
  <c r="D117" i="10"/>
  <c r="C117" i="10"/>
  <c r="A115" i="10"/>
  <c r="I115" i="10" s="1"/>
  <c r="I114" i="10"/>
  <c r="F114" i="10"/>
  <c r="E114" i="10"/>
  <c r="D114" i="10"/>
  <c r="C114" i="10"/>
  <c r="I113" i="10"/>
  <c r="F113" i="10"/>
  <c r="E113" i="10"/>
  <c r="D113" i="10"/>
  <c r="C113" i="10"/>
  <c r="I112" i="10"/>
  <c r="F112" i="10"/>
  <c r="E112" i="10"/>
  <c r="D112" i="10"/>
  <c r="C112" i="10"/>
  <c r="I111" i="10"/>
  <c r="F111" i="10"/>
  <c r="E111" i="10"/>
  <c r="D111" i="10"/>
  <c r="C111" i="10"/>
  <c r="I110" i="10"/>
  <c r="F110" i="10"/>
  <c r="E110" i="10"/>
  <c r="D110" i="10"/>
  <c r="C110" i="10"/>
  <c r="I109" i="10"/>
  <c r="F109" i="10"/>
  <c r="E109" i="10"/>
  <c r="D109" i="10"/>
  <c r="C109" i="10"/>
  <c r="I108" i="10"/>
  <c r="F108" i="10"/>
  <c r="E108" i="10"/>
  <c r="D108" i="10"/>
  <c r="C108" i="10"/>
  <c r="I107" i="10"/>
  <c r="F107" i="10"/>
  <c r="E107" i="10"/>
  <c r="D107" i="10"/>
  <c r="C107" i="10"/>
  <c r="I106" i="10"/>
  <c r="F106" i="10"/>
  <c r="E106" i="10"/>
  <c r="D106" i="10"/>
  <c r="C106" i="10"/>
  <c r="I105" i="10"/>
  <c r="F105" i="10"/>
  <c r="E105" i="10"/>
  <c r="D105" i="10"/>
  <c r="C105" i="10"/>
  <c r="I104" i="10"/>
  <c r="F104" i="10"/>
  <c r="E104" i="10"/>
  <c r="D104" i="10"/>
  <c r="C104" i="10"/>
  <c r="A103" i="10"/>
  <c r="D103" i="10" s="1"/>
  <c r="I102" i="10"/>
  <c r="F102" i="10"/>
  <c r="E102" i="10"/>
  <c r="D102" i="10"/>
  <c r="C102" i="10"/>
  <c r="I101" i="10"/>
  <c r="F101" i="10"/>
  <c r="E101" i="10"/>
  <c r="D101" i="10"/>
  <c r="C101" i="10"/>
  <c r="I100" i="10"/>
  <c r="F100" i="10"/>
  <c r="E100" i="10"/>
  <c r="D100" i="10"/>
  <c r="C100" i="10"/>
  <c r="I99" i="10"/>
  <c r="F99" i="10"/>
  <c r="E99" i="10"/>
  <c r="D99" i="10"/>
  <c r="C99" i="10"/>
  <c r="I98" i="10"/>
  <c r="F98" i="10"/>
  <c r="E98" i="10"/>
  <c r="D98" i="10"/>
  <c r="C98" i="10"/>
  <c r="I97" i="10"/>
  <c r="F97" i="10"/>
  <c r="E97" i="10"/>
  <c r="D97" i="10"/>
  <c r="C97" i="10"/>
  <c r="I96" i="10"/>
  <c r="F96" i="10"/>
  <c r="E96" i="10"/>
  <c r="D96" i="10"/>
  <c r="C96" i="10"/>
  <c r="I95" i="10"/>
  <c r="F95" i="10"/>
  <c r="E95" i="10"/>
  <c r="D95" i="10"/>
  <c r="C95" i="10"/>
  <c r="I94" i="10"/>
  <c r="F94" i="10"/>
  <c r="E94" i="10"/>
  <c r="D94" i="10"/>
  <c r="C94" i="10"/>
  <c r="I93" i="10"/>
  <c r="F93" i="10"/>
  <c r="E93" i="10"/>
  <c r="D93" i="10"/>
  <c r="C93" i="10"/>
  <c r="A92" i="10"/>
  <c r="I92" i="10" s="1"/>
  <c r="I91" i="10"/>
  <c r="F91" i="10"/>
  <c r="E91" i="10"/>
  <c r="D91" i="10"/>
  <c r="C91" i="10"/>
  <c r="I90" i="10"/>
  <c r="F90" i="10"/>
  <c r="E90" i="10"/>
  <c r="D90" i="10"/>
  <c r="C90" i="10"/>
  <c r="I89" i="10"/>
  <c r="F89" i="10"/>
  <c r="E89" i="10"/>
  <c r="D89" i="10"/>
  <c r="C89" i="10"/>
  <c r="F88" i="10"/>
  <c r="E88" i="10"/>
  <c r="D88" i="10"/>
  <c r="A88" i="10"/>
  <c r="I88" i="10" s="1"/>
  <c r="I87" i="10"/>
  <c r="F87" i="10"/>
  <c r="E87" i="10"/>
  <c r="D87" i="10"/>
  <c r="C87" i="10"/>
  <c r="I86" i="10"/>
  <c r="F86" i="10"/>
  <c r="E86" i="10"/>
  <c r="D86" i="10"/>
  <c r="C86" i="10"/>
  <c r="A85" i="10"/>
  <c r="I85" i="10" s="1"/>
  <c r="I84" i="10"/>
  <c r="F84" i="10"/>
  <c r="E84" i="10"/>
  <c r="D84" i="10"/>
  <c r="C84" i="10"/>
  <c r="I83" i="10"/>
  <c r="F83" i="10"/>
  <c r="E83" i="10"/>
  <c r="D83" i="10"/>
  <c r="C83" i="10"/>
  <c r="I82" i="10"/>
  <c r="F82" i="10"/>
  <c r="E82" i="10"/>
  <c r="D82" i="10"/>
  <c r="C82" i="10"/>
  <c r="I81" i="10"/>
  <c r="F81" i="10"/>
  <c r="A81" i="10"/>
  <c r="E81" i="10" s="1"/>
  <c r="I80" i="10"/>
  <c r="F80" i="10"/>
  <c r="E80" i="10"/>
  <c r="D80" i="10"/>
  <c r="C80" i="10"/>
  <c r="I79" i="10"/>
  <c r="F79" i="10"/>
  <c r="E79" i="10"/>
  <c r="D79" i="10"/>
  <c r="C79" i="10"/>
  <c r="I78" i="10"/>
  <c r="F78" i="10"/>
  <c r="E78" i="10"/>
  <c r="D78" i="10"/>
  <c r="C78" i="10"/>
  <c r="I77" i="10"/>
  <c r="F77" i="10"/>
  <c r="E77" i="10"/>
  <c r="D77" i="10"/>
  <c r="C77" i="10"/>
  <c r="I76" i="10"/>
  <c r="F76" i="10"/>
  <c r="E76" i="10"/>
  <c r="D76" i="10"/>
  <c r="C76" i="10"/>
  <c r="I75" i="10"/>
  <c r="F75" i="10"/>
  <c r="E75" i="10"/>
  <c r="D75" i="10"/>
  <c r="C75" i="10"/>
  <c r="I74" i="10"/>
  <c r="F74" i="10"/>
  <c r="E74" i="10"/>
  <c r="D74" i="10"/>
  <c r="C74" i="10"/>
  <c r="I73" i="10"/>
  <c r="F73" i="10"/>
  <c r="E73" i="10"/>
  <c r="D73" i="10"/>
  <c r="C73" i="10"/>
  <c r="I72" i="10"/>
  <c r="F72" i="10"/>
  <c r="E72" i="10"/>
  <c r="D72" i="10"/>
  <c r="C72" i="10"/>
  <c r="I71" i="10"/>
  <c r="F71" i="10"/>
  <c r="E71" i="10"/>
  <c r="D71" i="10"/>
  <c r="C71" i="10"/>
  <c r="I70" i="10"/>
  <c r="F70" i="10"/>
  <c r="E70" i="10"/>
  <c r="D70" i="10"/>
  <c r="C70" i="10"/>
  <c r="I69" i="10"/>
  <c r="F69" i="10"/>
  <c r="E69" i="10"/>
  <c r="D69" i="10"/>
  <c r="C69" i="10"/>
  <c r="I68" i="10"/>
  <c r="F68" i="10"/>
  <c r="E68" i="10"/>
  <c r="D68" i="10"/>
  <c r="C68" i="10"/>
  <c r="A67" i="10"/>
  <c r="I67" i="10" s="1"/>
  <c r="I66" i="10"/>
  <c r="F66" i="10"/>
  <c r="E66" i="10"/>
  <c r="D66" i="10"/>
  <c r="C66" i="10"/>
  <c r="I65" i="10"/>
  <c r="F65" i="10"/>
  <c r="E65" i="10"/>
  <c r="D65" i="10"/>
  <c r="C65" i="10"/>
  <c r="I64" i="10"/>
  <c r="F64" i="10"/>
  <c r="E64" i="10"/>
  <c r="D64" i="10"/>
  <c r="C64" i="10"/>
  <c r="I63" i="10"/>
  <c r="F63" i="10"/>
  <c r="E63" i="10"/>
  <c r="D63" i="10"/>
  <c r="C63" i="10"/>
  <c r="I62" i="10"/>
  <c r="F62" i="10"/>
  <c r="E62" i="10"/>
  <c r="D62" i="10"/>
  <c r="C62" i="10"/>
  <c r="I61" i="10"/>
  <c r="F61" i="10"/>
  <c r="E61" i="10"/>
  <c r="D61" i="10"/>
  <c r="C61" i="10"/>
  <c r="I60" i="10"/>
  <c r="F60" i="10"/>
  <c r="E60" i="10"/>
  <c r="D60" i="10"/>
  <c r="C60" i="10"/>
  <c r="I59" i="10"/>
  <c r="F59" i="10"/>
  <c r="E59" i="10"/>
  <c r="D59" i="10"/>
  <c r="C59" i="10"/>
  <c r="I58" i="10"/>
  <c r="F58" i="10"/>
  <c r="E58" i="10"/>
  <c r="D58" i="10"/>
  <c r="C58" i="10"/>
  <c r="I57" i="10"/>
  <c r="F57" i="10"/>
  <c r="E57" i="10"/>
  <c r="D57" i="10"/>
  <c r="C57" i="10"/>
  <c r="I56" i="10"/>
  <c r="F56" i="10"/>
  <c r="E56" i="10"/>
  <c r="D56" i="10"/>
  <c r="C56" i="10"/>
  <c r="I55" i="10"/>
  <c r="F55" i="10"/>
  <c r="E55" i="10"/>
  <c r="D55" i="10"/>
  <c r="C55" i="10"/>
  <c r="I54" i="10"/>
  <c r="F54" i="10"/>
  <c r="E54" i="10"/>
  <c r="D54" i="10"/>
  <c r="C54" i="10"/>
  <c r="I53" i="10"/>
  <c r="F53" i="10"/>
  <c r="E53" i="10"/>
  <c r="D53" i="10"/>
  <c r="C53" i="10"/>
  <c r="I52" i="10"/>
  <c r="F52" i="10"/>
  <c r="E52" i="10"/>
  <c r="D52" i="10"/>
  <c r="C52" i="10"/>
  <c r="I51" i="10"/>
  <c r="F51" i="10"/>
  <c r="E51" i="10"/>
  <c r="D51" i="10"/>
  <c r="C51" i="10"/>
  <c r="A49" i="10"/>
  <c r="F49" i="10" s="1"/>
  <c r="I48" i="10"/>
  <c r="F48" i="10"/>
  <c r="E48" i="10"/>
  <c r="D48" i="10"/>
  <c r="C48" i="10"/>
  <c r="I47" i="10"/>
  <c r="F47" i="10"/>
  <c r="E47" i="10"/>
  <c r="D47" i="10"/>
  <c r="C47" i="10"/>
  <c r="I46" i="10"/>
  <c r="F46" i="10"/>
  <c r="E46" i="10"/>
  <c r="D46" i="10"/>
  <c r="C46" i="10"/>
  <c r="I45" i="10"/>
  <c r="F45" i="10"/>
  <c r="E45" i="10"/>
  <c r="D45" i="10"/>
  <c r="C45" i="10"/>
  <c r="A42" i="10"/>
  <c r="I41" i="10"/>
  <c r="F41" i="10"/>
  <c r="E41" i="10"/>
  <c r="D41" i="10"/>
  <c r="C41" i="10"/>
  <c r="I40" i="10"/>
  <c r="F40" i="10"/>
  <c r="E40" i="10"/>
  <c r="D40" i="10"/>
  <c r="C40" i="10"/>
  <c r="I39" i="10"/>
  <c r="F39" i="10"/>
  <c r="E39" i="10"/>
  <c r="D39" i="10"/>
  <c r="C39" i="10"/>
  <c r="I38" i="10"/>
  <c r="F38" i="10"/>
  <c r="E38" i="10"/>
  <c r="D38" i="10"/>
  <c r="C38" i="10"/>
  <c r="I37" i="10"/>
  <c r="E37" i="10"/>
  <c r="D37" i="10"/>
  <c r="C37" i="10"/>
  <c r="A37" i="10"/>
  <c r="I36" i="10"/>
  <c r="F36" i="10"/>
  <c r="E36" i="10"/>
  <c r="D36" i="10"/>
  <c r="C36" i="10"/>
  <c r="I35" i="10"/>
  <c r="E35" i="10"/>
  <c r="D35" i="10"/>
  <c r="A35" i="10"/>
  <c r="F35" i="10" s="1"/>
  <c r="I34" i="10"/>
  <c r="F34" i="10"/>
  <c r="E34" i="10"/>
  <c r="D34" i="10"/>
  <c r="C34" i="10"/>
  <c r="I33" i="10"/>
  <c r="F33" i="10"/>
  <c r="E33" i="10"/>
  <c r="D33" i="10"/>
  <c r="C33" i="10"/>
  <c r="I32" i="10"/>
  <c r="F32" i="10"/>
  <c r="E32" i="10"/>
  <c r="D32" i="10"/>
  <c r="C32" i="10"/>
  <c r="I31" i="10"/>
  <c r="F31" i="10"/>
  <c r="E31" i="10"/>
  <c r="D31" i="10"/>
  <c r="C31" i="10"/>
  <c r="A30" i="10"/>
  <c r="I29" i="10"/>
  <c r="F29" i="10"/>
  <c r="E29" i="10"/>
  <c r="D29" i="10"/>
  <c r="C29" i="10"/>
  <c r="I28" i="10"/>
  <c r="F28" i="10"/>
  <c r="E28" i="10"/>
  <c r="D28" i="10"/>
  <c r="C28" i="10"/>
  <c r="I27" i="10"/>
  <c r="F27" i="10"/>
  <c r="E27" i="10"/>
  <c r="D27" i="10"/>
  <c r="C27" i="10"/>
  <c r="I26" i="10"/>
  <c r="F26" i="10"/>
  <c r="E26" i="10"/>
  <c r="D26" i="10"/>
  <c r="C26" i="10"/>
  <c r="I25" i="10"/>
  <c r="F25" i="10"/>
  <c r="E25" i="10"/>
  <c r="D25" i="10"/>
  <c r="C25" i="10"/>
  <c r="A23" i="10"/>
  <c r="I23" i="10" s="1"/>
  <c r="I22" i="10"/>
  <c r="F22" i="10"/>
  <c r="E22" i="10"/>
  <c r="D22" i="10"/>
  <c r="C22" i="10"/>
  <c r="I21" i="10"/>
  <c r="F21" i="10"/>
  <c r="E21" i="10"/>
  <c r="D21" i="10"/>
  <c r="C21" i="10"/>
  <c r="I20" i="10"/>
  <c r="F20" i="10"/>
  <c r="E20" i="10"/>
  <c r="D20" i="10"/>
  <c r="C20" i="10"/>
  <c r="I19" i="10"/>
  <c r="F19" i="10"/>
  <c r="E19" i="10"/>
  <c r="D19" i="10"/>
  <c r="C19" i="10"/>
  <c r="I17" i="10"/>
  <c r="A17" i="10"/>
  <c r="F17" i="10" s="1"/>
  <c r="I16" i="10"/>
  <c r="F16" i="10"/>
  <c r="E16" i="10"/>
  <c r="D16" i="10"/>
  <c r="C16" i="10"/>
  <c r="I15" i="10"/>
  <c r="F15" i="10"/>
  <c r="E15" i="10"/>
  <c r="D15" i="10"/>
  <c r="C15" i="10"/>
  <c r="I14" i="10"/>
  <c r="F14" i="10"/>
  <c r="E14" i="10"/>
  <c r="D14" i="10"/>
  <c r="C14" i="10"/>
  <c r="I13" i="10"/>
  <c r="F13" i="10"/>
  <c r="E13" i="10"/>
  <c r="D13" i="10"/>
  <c r="C13" i="10"/>
  <c r="I12" i="10"/>
  <c r="F12" i="10"/>
  <c r="E12" i="10"/>
  <c r="D12" i="10"/>
  <c r="C12" i="10"/>
  <c r="I11" i="10"/>
  <c r="F11" i="10"/>
  <c r="E11" i="10"/>
  <c r="D11" i="10"/>
  <c r="C11" i="10"/>
  <c r="I10" i="10"/>
  <c r="F10" i="10"/>
  <c r="E10" i="10"/>
  <c r="D10" i="10"/>
  <c r="C10" i="10"/>
  <c r="I9" i="10"/>
  <c r="F9" i="10"/>
  <c r="E9" i="10"/>
  <c r="D9" i="10"/>
  <c r="C9" i="10"/>
  <c r="A8" i="10"/>
  <c r="D8" i="10" s="1"/>
  <c r="I7" i="10"/>
  <c r="F7" i="10"/>
  <c r="E7" i="10"/>
  <c r="D7" i="10"/>
  <c r="C7" i="10"/>
  <c r="A6" i="10"/>
  <c r="I5" i="10"/>
  <c r="F5" i="10"/>
  <c r="E5" i="10"/>
  <c r="D5" i="10"/>
  <c r="C5" i="10"/>
  <c r="I4" i="10"/>
  <c r="F4" i="10"/>
  <c r="E4" i="10"/>
  <c r="D4" i="10"/>
  <c r="C4" i="10"/>
  <c r="I3" i="10"/>
  <c r="F3" i="10"/>
  <c r="E3" i="10"/>
  <c r="D3" i="10"/>
  <c r="C3" i="10"/>
  <c r="I58" i="1"/>
  <c r="I53" i="1"/>
  <c r="I52" i="1"/>
  <c r="I45" i="1"/>
  <c r="I44" i="1"/>
  <c r="M36" i="1"/>
  <c r="K36" i="1"/>
  <c r="J36" i="1"/>
  <c r="M35" i="1"/>
  <c r="K35" i="1"/>
  <c r="J35" i="1"/>
  <c r="M34" i="1"/>
  <c r="K34" i="1"/>
  <c r="J34" i="1"/>
  <c r="M33" i="1"/>
  <c r="K33" i="1"/>
  <c r="J33" i="1"/>
  <c r="M31" i="1"/>
  <c r="K31" i="1"/>
  <c r="J31" i="1"/>
  <c r="M30" i="1"/>
  <c r="K30" i="1"/>
  <c r="J30" i="1"/>
  <c r="M29" i="1"/>
  <c r="K29" i="1"/>
  <c r="J29" i="1"/>
  <c r="M28" i="1"/>
  <c r="K28" i="1"/>
  <c r="J28" i="1"/>
  <c r="M27" i="1"/>
  <c r="K27" i="1"/>
  <c r="J27" i="1"/>
  <c r="M26" i="1"/>
  <c r="K26" i="1"/>
  <c r="J26" i="1"/>
  <c r="M25" i="1"/>
  <c r="K25" i="1"/>
  <c r="J25" i="1"/>
  <c r="M24" i="1"/>
  <c r="K24" i="1"/>
  <c r="J24" i="1"/>
  <c r="N24" i="1" s="1"/>
  <c r="M19" i="1"/>
  <c r="K19" i="1"/>
  <c r="J19" i="1"/>
  <c r="M18" i="1"/>
  <c r="K18" i="1"/>
  <c r="J18" i="1"/>
  <c r="M17" i="1"/>
  <c r="K17" i="1"/>
  <c r="J17" i="1"/>
  <c r="M16" i="1"/>
  <c r="K16" i="1"/>
  <c r="J16" i="1"/>
  <c r="M13" i="1"/>
  <c r="K13" i="1"/>
  <c r="J13" i="1"/>
  <c r="M11" i="1"/>
  <c r="K11" i="1"/>
  <c r="J11" i="1"/>
  <c r="M10" i="1"/>
  <c r="K10" i="1"/>
  <c r="J10" i="1"/>
  <c r="M9" i="1"/>
  <c r="K9" i="1"/>
  <c r="J9" i="1"/>
  <c r="N9" i="1" s="1"/>
  <c r="K6" i="1"/>
  <c r="B6" i="1"/>
  <c r="A6" i="1"/>
  <c r="M5" i="1"/>
  <c r="J5" i="1"/>
  <c r="A5" i="1"/>
  <c r="M4" i="1"/>
  <c r="K4" i="1"/>
  <c r="J4" i="1"/>
  <c r="A4" i="1"/>
  <c r="M3" i="1"/>
  <c r="K3" i="1"/>
  <c r="J3" i="1"/>
  <c r="A3" i="1"/>
  <c r="F18" i="17" l="1"/>
  <c r="H18" i="17"/>
  <c r="F5" i="11"/>
  <c r="F75" i="11"/>
  <c r="L52" i="1"/>
  <c r="F12" i="8"/>
  <c r="H12" i="8" s="1"/>
  <c r="G16" i="8"/>
  <c r="C63" i="11"/>
  <c r="H51" i="7"/>
  <c r="D56" i="11" s="1"/>
  <c r="G102" i="7"/>
  <c r="C46" i="11"/>
  <c r="F89" i="7"/>
  <c r="H35" i="7"/>
  <c r="D37" i="11" s="1"/>
  <c r="C64" i="11"/>
  <c r="H36" i="7"/>
  <c r="D38" i="11" s="1"/>
  <c r="H49" i="7"/>
  <c r="D54" i="11" s="1"/>
  <c r="H89" i="7"/>
  <c r="C45" i="11"/>
  <c r="H13" i="7"/>
  <c r="D8" i="11" s="1"/>
  <c r="H67" i="7"/>
  <c r="J52" i="1" s="1"/>
  <c r="C25" i="11"/>
  <c r="H14" i="7"/>
  <c r="D9" i="11" s="1"/>
  <c r="C10" i="11"/>
  <c r="F29" i="7"/>
  <c r="H29" i="7" s="1"/>
  <c r="I54" i="1"/>
  <c r="D24" i="6"/>
  <c r="I231" i="10"/>
  <c r="I42" i="10"/>
  <c r="M6" i="1"/>
  <c r="I6" i="10"/>
  <c r="I182" i="10"/>
  <c r="F47" i="16"/>
  <c r="O42" i="16"/>
  <c r="S106" i="16"/>
  <c r="L7" i="1"/>
  <c r="G18" i="10"/>
  <c r="H210" i="16"/>
  <c r="H221" i="10"/>
  <c r="R188" i="16"/>
  <c r="H92" i="16"/>
  <c r="H92" i="10"/>
  <c r="H106" i="16"/>
  <c r="H115" i="10"/>
  <c r="F220" i="16"/>
  <c r="D210" i="16"/>
  <c r="G221" i="10" s="1"/>
  <c r="H209" i="16"/>
  <c r="H220" i="10"/>
  <c r="N28" i="1"/>
  <c r="O40" i="4"/>
  <c r="M22" i="4"/>
  <c r="J198" i="4"/>
  <c r="L198" i="4" s="1"/>
  <c r="F129" i="4"/>
  <c r="H129" i="4" s="1"/>
  <c r="O159" i="4"/>
  <c r="Q159" i="4" s="1"/>
  <c r="S162" i="4"/>
  <c r="E46" i="4"/>
  <c r="S110" i="4"/>
  <c r="Q177" i="4"/>
  <c r="J38" i="4"/>
  <c r="L38" i="4" s="1"/>
  <c r="S129" i="4"/>
  <c r="U129" i="4" s="1"/>
  <c r="F141" i="4"/>
  <c r="H141" i="4" s="1"/>
  <c r="D199" i="4"/>
  <c r="S33" i="4"/>
  <c r="U33" i="4" s="1"/>
  <c r="S177" i="4"/>
  <c r="U177" i="4" s="1"/>
  <c r="F37" i="10"/>
  <c r="S89" i="4"/>
  <c r="S118" i="4"/>
  <c r="S174" i="4"/>
  <c r="F40" i="4"/>
  <c r="J134" i="4"/>
  <c r="L134" i="4" s="1"/>
  <c r="J188" i="4"/>
  <c r="O50" i="3"/>
  <c r="S181" i="3"/>
  <c r="U181" i="3" s="1"/>
  <c r="F27" i="3"/>
  <c r="J121" i="3"/>
  <c r="L121" i="3" s="1"/>
  <c r="F112" i="3"/>
  <c r="R113" i="3"/>
  <c r="O189" i="3"/>
  <c r="Q189" i="3" s="1"/>
  <c r="S127" i="3"/>
  <c r="U127" i="3" s="1"/>
  <c r="F166" i="3"/>
  <c r="H166" i="3" s="1"/>
  <c r="F163" i="3"/>
  <c r="H163" i="3" s="1"/>
  <c r="N30" i="1"/>
  <c r="N4" i="1"/>
  <c r="N11" i="1"/>
  <c r="N3" i="1"/>
  <c r="N18" i="1"/>
  <c r="N19" i="1"/>
  <c r="N31" i="1"/>
  <c r="N27" i="1"/>
  <c r="N35" i="1"/>
  <c r="N29" i="1"/>
  <c r="N13" i="1"/>
  <c r="N36" i="1"/>
  <c r="N6" i="1"/>
  <c r="N25" i="1"/>
  <c r="N16" i="1"/>
  <c r="N26" i="1"/>
  <c r="N17" i="1"/>
  <c r="N33" i="1"/>
  <c r="M174" i="10"/>
  <c r="N10" i="1"/>
  <c r="N34" i="1"/>
  <c r="L174" i="10"/>
  <c r="F92" i="17"/>
  <c r="H88" i="17"/>
  <c r="F67" i="17"/>
  <c r="F69" i="17" s="1"/>
  <c r="H67" i="17"/>
  <c r="H69" i="17" s="1"/>
  <c r="F85" i="17"/>
  <c r="H74" i="17"/>
  <c r="H95" i="17"/>
  <c r="F115" i="17"/>
  <c r="C140" i="10"/>
  <c r="F23" i="10"/>
  <c r="D140" i="10"/>
  <c r="E140" i="10"/>
  <c r="C92" i="10"/>
  <c r="D92" i="10"/>
  <c r="C115" i="10"/>
  <c r="E130" i="10"/>
  <c r="E92" i="10"/>
  <c r="D115" i="10"/>
  <c r="I130" i="10"/>
  <c r="E115" i="10"/>
  <c r="F92" i="10"/>
  <c r="F115" i="10"/>
  <c r="C17" i="10"/>
  <c r="D17" i="10"/>
  <c r="I154" i="10"/>
  <c r="C195" i="10"/>
  <c r="E17" i="10"/>
  <c r="E195" i="10"/>
  <c r="D67" i="10"/>
  <c r="F103" i="10"/>
  <c r="I135" i="10"/>
  <c r="C182" i="10"/>
  <c r="E85" i="10"/>
  <c r="D182" i="10"/>
  <c r="E8" i="10"/>
  <c r="I8" i="10"/>
  <c r="F85" i="10"/>
  <c r="C81" i="10"/>
  <c r="C88" i="10"/>
  <c r="D118" i="10"/>
  <c r="F159" i="10"/>
  <c r="F154" i="10"/>
  <c r="I19" i="2"/>
  <c r="E25" i="2"/>
  <c r="E26" i="2" s="1"/>
  <c r="J29" i="2"/>
  <c r="S35" i="2"/>
  <c r="J38" i="2"/>
  <c r="N42" i="2"/>
  <c r="F49" i="2"/>
  <c r="H49" i="2" s="1"/>
  <c r="R67" i="2"/>
  <c r="S74" i="2"/>
  <c r="S84" i="2"/>
  <c r="U84" i="2" s="1"/>
  <c r="O104" i="2"/>
  <c r="Q104" i="2" s="1"/>
  <c r="S116" i="2"/>
  <c r="U116" i="2" s="1"/>
  <c r="S125" i="2"/>
  <c r="U125" i="2" s="1"/>
  <c r="J128" i="2"/>
  <c r="L128" i="2" s="1"/>
  <c r="O130" i="2"/>
  <c r="Q130" i="2" s="1"/>
  <c r="O133" i="2"/>
  <c r="Q133" i="2" s="1"/>
  <c r="N145" i="2"/>
  <c r="J143" i="2"/>
  <c r="L143" i="2" s="1"/>
  <c r="E151" i="2"/>
  <c r="O148" i="2"/>
  <c r="Q148" i="2" s="1"/>
  <c r="O150" i="2"/>
  <c r="O153" i="2"/>
  <c r="Q153" i="2" s="1"/>
  <c r="R163" i="2"/>
  <c r="S162" i="2"/>
  <c r="U162" i="2" s="1"/>
  <c r="F168" i="2"/>
  <c r="H168" i="2" s="1"/>
  <c r="O172" i="2"/>
  <c r="Q172" i="2" s="1"/>
  <c r="O184" i="2"/>
  <c r="Q184" i="2" s="1"/>
  <c r="O197" i="2"/>
  <c r="E206" i="2"/>
  <c r="E207" i="2" s="1"/>
  <c r="H207" i="2" s="1"/>
  <c r="O202" i="2"/>
  <c r="D214" i="2"/>
  <c r="D215" i="2" s="1"/>
  <c r="J12" i="2"/>
  <c r="D25" i="2"/>
  <c r="D26" i="2" s="1"/>
  <c r="R50" i="2"/>
  <c r="O57" i="2"/>
  <c r="J64" i="2"/>
  <c r="L64" i="2" s="1"/>
  <c r="J66" i="2"/>
  <c r="L66" i="2" s="1"/>
  <c r="Q74" i="2"/>
  <c r="O76" i="2"/>
  <c r="Q76" i="2" s="1"/>
  <c r="F100" i="2"/>
  <c r="H100" i="2" s="1"/>
  <c r="O102" i="2"/>
  <c r="Q102" i="2" s="1"/>
  <c r="S104" i="2"/>
  <c r="U104" i="2" s="1"/>
  <c r="J107" i="2"/>
  <c r="N114" i="2"/>
  <c r="Q114" i="2" s="1"/>
  <c r="J119" i="2"/>
  <c r="L119" i="2" s="1"/>
  <c r="J123" i="2"/>
  <c r="L123" i="2" s="1"/>
  <c r="S138" i="2"/>
  <c r="U138" i="2" s="1"/>
  <c r="R145" i="2"/>
  <c r="S145" i="2" s="1"/>
  <c r="U145" i="2" s="1"/>
  <c r="I151" i="2"/>
  <c r="J159" i="2"/>
  <c r="L159" i="2" s="1"/>
  <c r="O165" i="2"/>
  <c r="Q165" i="2" s="1"/>
  <c r="S170" i="2"/>
  <c r="U170" i="2" s="1"/>
  <c r="E180" i="2"/>
  <c r="D186" i="2"/>
  <c r="J186" i="2" s="1"/>
  <c r="U182" i="2"/>
  <c r="J188" i="2"/>
  <c r="F201" i="2"/>
  <c r="O12" i="2"/>
  <c r="Q12" i="2" s="1"/>
  <c r="N19" i="2"/>
  <c r="O17" i="2"/>
  <c r="J21" i="2"/>
  <c r="L21" i="2" s="1"/>
  <c r="F29" i="2"/>
  <c r="J31" i="2"/>
  <c r="L31" i="2" s="1"/>
  <c r="S38" i="2"/>
  <c r="J41" i="2"/>
  <c r="L41" i="2" s="1"/>
  <c r="J69" i="2"/>
  <c r="L69" i="2" s="1"/>
  <c r="O74" i="2"/>
  <c r="N82" i="2"/>
  <c r="J83" i="2"/>
  <c r="L83" i="2" s="1"/>
  <c r="D85" i="2"/>
  <c r="S87" i="2"/>
  <c r="U87" i="2" s="1"/>
  <c r="O97" i="2"/>
  <c r="Q97" i="2" s="1"/>
  <c r="S102" i="2"/>
  <c r="U102" i="2" s="1"/>
  <c r="J105" i="2"/>
  <c r="O110" i="2"/>
  <c r="D121" i="2"/>
  <c r="F121" i="2" s="1"/>
  <c r="H121" i="2" s="1"/>
  <c r="M121" i="2"/>
  <c r="O121" i="2" s="1"/>
  <c r="Q121" i="2" s="1"/>
  <c r="S123" i="2"/>
  <c r="U123" i="2" s="1"/>
  <c r="O125" i="2"/>
  <c r="Q125" i="2" s="1"/>
  <c r="N132" i="2"/>
  <c r="R132" i="2"/>
  <c r="J141" i="2"/>
  <c r="L141" i="2" s="1"/>
  <c r="M151" i="2"/>
  <c r="N156" i="2"/>
  <c r="M177" i="2"/>
  <c r="F178" i="2"/>
  <c r="H178" i="2" s="1"/>
  <c r="E186" i="2"/>
  <c r="J185" i="2"/>
  <c r="L185" i="2" s="1"/>
  <c r="I206" i="2"/>
  <c r="I207" i="2" s="1"/>
  <c r="J207" i="2" s="1"/>
  <c r="L207" i="2" s="1"/>
  <c r="I214" i="2"/>
  <c r="U15" i="2"/>
  <c r="S21" i="2"/>
  <c r="U21" i="2" s="1"/>
  <c r="O23" i="2"/>
  <c r="J27" i="2"/>
  <c r="L27" i="2" s="1"/>
  <c r="E50" i="2"/>
  <c r="J49" i="2"/>
  <c r="L49" i="2" s="1"/>
  <c r="J91" i="2"/>
  <c r="L91" i="2" s="1"/>
  <c r="J109" i="2"/>
  <c r="J131" i="2"/>
  <c r="L131" i="2" s="1"/>
  <c r="F134" i="2"/>
  <c r="H134" i="2" s="1"/>
  <c r="N151" i="2"/>
  <c r="J149" i="2"/>
  <c r="J154" i="2"/>
  <c r="L154" i="2" s="1"/>
  <c r="J173" i="2"/>
  <c r="L173" i="2" s="1"/>
  <c r="I180" i="2"/>
  <c r="J180" i="2" s="1"/>
  <c r="J183" i="2"/>
  <c r="L183" i="2" s="1"/>
  <c r="J201" i="2"/>
  <c r="M214" i="2"/>
  <c r="M215" i="2" s="1"/>
  <c r="I32" i="2"/>
  <c r="J32" i="2" s="1"/>
  <c r="L32" i="2" s="1"/>
  <c r="F36" i="2"/>
  <c r="H36" i="2" s="1"/>
  <c r="O49" i="2"/>
  <c r="Q49" i="2" s="1"/>
  <c r="F80" i="2"/>
  <c r="H80" i="2" s="1"/>
  <c r="E88" i="2"/>
  <c r="H88" i="2" s="1"/>
  <c r="E99" i="2"/>
  <c r="M111" i="2"/>
  <c r="D127" i="2"/>
  <c r="F126" i="2"/>
  <c r="H126" i="2" s="1"/>
  <c r="O136" i="2"/>
  <c r="F152" i="2"/>
  <c r="N180" i="2"/>
  <c r="J181" i="2"/>
  <c r="L181" i="2" s="1"/>
  <c r="M206" i="2"/>
  <c r="M207" i="2" s="1"/>
  <c r="F205" i="2"/>
  <c r="O212" i="2"/>
  <c r="Q212" i="2" s="1"/>
  <c r="R25" i="2"/>
  <c r="R26" i="2" s="1"/>
  <c r="J88" i="2"/>
  <c r="L88" i="2" s="1"/>
  <c r="F18" i="2"/>
  <c r="O31" i="2"/>
  <c r="Q31" i="2" s="1"/>
  <c r="O60" i="2"/>
  <c r="Q60" i="2" s="1"/>
  <c r="O64" i="2"/>
  <c r="Q64" i="2" s="1"/>
  <c r="O69" i="2"/>
  <c r="Q69" i="2" s="1"/>
  <c r="J93" i="2"/>
  <c r="L93" i="2" s="1"/>
  <c r="R111" i="2"/>
  <c r="F147" i="2"/>
  <c r="H147" i="2" s="1"/>
  <c r="H152" i="2"/>
  <c r="S159" i="2"/>
  <c r="U159" i="2" s="1"/>
  <c r="F164" i="2"/>
  <c r="H164" i="2" s="1"/>
  <c r="M166" i="2"/>
  <c r="S166" i="2" s="1"/>
  <c r="U166" i="2" s="1"/>
  <c r="O178" i="2"/>
  <c r="Q178" i="2" s="1"/>
  <c r="F198" i="2"/>
  <c r="N206" i="2"/>
  <c r="Q206" i="2" s="1"/>
  <c r="S23" i="2"/>
  <c r="U23" i="2" s="1"/>
  <c r="J36" i="2"/>
  <c r="L36" i="2" s="1"/>
  <c r="S49" i="2"/>
  <c r="U49" i="2" s="1"/>
  <c r="J58" i="2"/>
  <c r="L58" i="2" s="1"/>
  <c r="R78" i="2"/>
  <c r="O71" i="2"/>
  <c r="Q71" i="2" s="1"/>
  <c r="J80" i="2"/>
  <c r="L80" i="2" s="1"/>
  <c r="I88" i="2"/>
  <c r="I99" i="2"/>
  <c r="O93" i="2"/>
  <c r="D111" i="2"/>
  <c r="O107" i="2"/>
  <c r="N121" i="2"/>
  <c r="J122" i="2"/>
  <c r="L122" i="2" s="1"/>
  <c r="I127" i="2"/>
  <c r="J127" i="2" s="1"/>
  <c r="L127" i="2" s="1"/>
  <c r="S126" i="2"/>
  <c r="U126" i="2" s="1"/>
  <c r="N163" i="2"/>
  <c r="O163" i="2" s="1"/>
  <c r="Q163" i="2" s="1"/>
  <c r="F169" i="2"/>
  <c r="O173" i="2"/>
  <c r="Q173" i="2" s="1"/>
  <c r="N186" i="2"/>
  <c r="O201" i="2"/>
  <c r="I29" i="1"/>
  <c r="J24" i="2"/>
  <c r="L24" i="2" s="1"/>
  <c r="O27" i="2"/>
  <c r="Q27" i="2" s="1"/>
  <c r="I42" i="2"/>
  <c r="S47" i="2"/>
  <c r="U47" i="2" s="1"/>
  <c r="J63" i="2"/>
  <c r="L63" i="2" s="1"/>
  <c r="O91" i="2"/>
  <c r="Q91" i="2" s="1"/>
  <c r="O103" i="2"/>
  <c r="Q103" i="2" s="1"/>
  <c r="O109" i="2"/>
  <c r="Q109" i="2" s="1"/>
  <c r="S117" i="2"/>
  <c r="U117" i="2" s="1"/>
  <c r="S119" i="2"/>
  <c r="U119" i="2" s="1"/>
  <c r="O122" i="2"/>
  <c r="J124" i="2"/>
  <c r="L124" i="2" s="1"/>
  <c r="S136" i="2"/>
  <c r="U136" i="2" s="1"/>
  <c r="O147" i="2"/>
  <c r="Q147" i="2" s="1"/>
  <c r="J152" i="2"/>
  <c r="O154" i="2"/>
  <c r="Q154" i="2" s="1"/>
  <c r="J162" i="2"/>
  <c r="L162" i="2" s="1"/>
  <c r="J164" i="2"/>
  <c r="L164" i="2" s="1"/>
  <c r="D177" i="2"/>
  <c r="S171" i="2"/>
  <c r="S173" i="2"/>
  <c r="U173" i="2" s="1"/>
  <c r="J176" i="2"/>
  <c r="L176" i="2" s="1"/>
  <c r="F179" i="2"/>
  <c r="R186" i="2"/>
  <c r="Q201" i="2"/>
  <c r="S13" i="2"/>
  <c r="U13" i="2" s="1"/>
  <c r="O16" i="2"/>
  <c r="F24" i="2"/>
  <c r="H24" i="2" s="1"/>
  <c r="R32" i="2"/>
  <c r="S29" i="2"/>
  <c r="M32" i="2"/>
  <c r="O36" i="2"/>
  <c r="Q36" i="2" s="1"/>
  <c r="S39" i="2"/>
  <c r="U39" i="2" s="1"/>
  <c r="F48" i="2"/>
  <c r="H48" i="2" s="1"/>
  <c r="J61" i="2"/>
  <c r="L61" i="2" s="1"/>
  <c r="F63" i="2"/>
  <c r="F65" i="2"/>
  <c r="D67" i="2"/>
  <c r="N78" i="2"/>
  <c r="J84" i="2"/>
  <c r="L84" i="2" s="1"/>
  <c r="N99" i="2"/>
  <c r="O99" i="2" s="1"/>
  <c r="Q99" i="2" s="1"/>
  <c r="J120" i="2"/>
  <c r="L120" i="2" s="1"/>
  <c r="J135" i="2"/>
  <c r="L135" i="2" s="1"/>
  <c r="S144" i="2"/>
  <c r="U144" i="2" s="1"/>
  <c r="S198" i="2"/>
  <c r="U198" i="2" s="1"/>
  <c r="O22" i="2"/>
  <c r="F30" i="2"/>
  <c r="F33" i="2"/>
  <c r="H33" i="2" s="1"/>
  <c r="S36" i="2"/>
  <c r="U36" i="2" s="1"/>
  <c r="E67" i="2"/>
  <c r="J54" i="2"/>
  <c r="L54" i="2" s="1"/>
  <c r="H63" i="2"/>
  <c r="D78" i="2"/>
  <c r="S101" i="2"/>
  <c r="U101" i="2" s="1"/>
  <c r="F106" i="2"/>
  <c r="Q122" i="2"/>
  <c r="Q124" i="2"/>
  <c r="M132" i="2"/>
  <c r="I177" i="2"/>
  <c r="J195" i="2"/>
  <c r="L195" i="2" s="1"/>
  <c r="R14" i="2"/>
  <c r="R20" i="2" s="1"/>
  <c r="R19" i="2"/>
  <c r="N25" i="2"/>
  <c r="N26" i="2" s="1"/>
  <c r="E37" i="2"/>
  <c r="R42" i="2"/>
  <c r="D42" i="2"/>
  <c r="R99" i="2"/>
  <c r="F110" i="2"/>
  <c r="F118" i="2"/>
  <c r="H118" i="2" s="1"/>
  <c r="F120" i="2"/>
  <c r="M127" i="2"/>
  <c r="F158" i="2"/>
  <c r="H158" i="2" s="1"/>
  <c r="O167" i="2"/>
  <c r="Q167" i="2" s="1"/>
  <c r="F172" i="2"/>
  <c r="H172" i="2" s="1"/>
  <c r="F182" i="2"/>
  <c r="H182" i="2" s="1"/>
  <c r="F184" i="2"/>
  <c r="H184" i="2" s="1"/>
  <c r="F197" i="2"/>
  <c r="J213" i="2"/>
  <c r="L213" i="2" s="1"/>
  <c r="N177" i="2"/>
  <c r="S174" i="2"/>
  <c r="U174" i="2" s="1"/>
  <c r="S61" i="2"/>
  <c r="U61" i="2" s="1"/>
  <c r="S22" i="2"/>
  <c r="U22" i="2" s="1"/>
  <c r="S28" i="2"/>
  <c r="U28" i="2" s="1"/>
  <c r="M37" i="2"/>
  <c r="S37" i="2" s="1"/>
  <c r="H57" i="2"/>
  <c r="O63" i="2"/>
  <c r="M78" i="2"/>
  <c r="O78" i="2" s="1"/>
  <c r="D82" i="2"/>
  <c r="J82" i="2" s="1"/>
  <c r="L82" i="2" s="1"/>
  <c r="S98" i="2"/>
  <c r="F104" i="2"/>
  <c r="H104" i="2" s="1"/>
  <c r="S106" i="2"/>
  <c r="O113" i="2"/>
  <c r="J125" i="2"/>
  <c r="L125" i="2" s="1"/>
  <c r="J133" i="2"/>
  <c r="L133" i="2" s="1"/>
  <c r="O142" i="2"/>
  <c r="Q142" i="2" s="1"/>
  <c r="J153" i="2"/>
  <c r="L153" i="2" s="1"/>
  <c r="O160" i="2"/>
  <c r="Q160" i="2" s="1"/>
  <c r="R177" i="2"/>
  <c r="J172" i="2"/>
  <c r="L172" i="2" s="1"/>
  <c r="S176" i="2"/>
  <c r="U176" i="2" s="1"/>
  <c r="I189" i="2"/>
  <c r="D199" i="2"/>
  <c r="D200" i="2" s="1"/>
  <c r="J17" i="2"/>
  <c r="L17" i="2" s="1"/>
  <c r="L52" i="2"/>
  <c r="I121" i="2"/>
  <c r="I190" i="2" s="1"/>
  <c r="F145" i="2"/>
  <c r="H145" i="2" s="1"/>
  <c r="J15" i="2"/>
  <c r="L15" i="2" s="1"/>
  <c r="F17" i="2"/>
  <c r="F23" i="2"/>
  <c r="J35" i="2"/>
  <c r="O52" i="2"/>
  <c r="Q52" i="2" s="1"/>
  <c r="F55" i="2"/>
  <c r="H55" i="2" s="1"/>
  <c r="O59" i="2"/>
  <c r="Q59" i="2" s="1"/>
  <c r="O61" i="2"/>
  <c r="Q61" i="2" s="1"/>
  <c r="J76" i="2"/>
  <c r="L76" i="2" s="1"/>
  <c r="O81" i="2"/>
  <c r="S96" i="2"/>
  <c r="U96" i="2" s="1"/>
  <c r="E111" i="2"/>
  <c r="S113" i="2"/>
  <c r="U113" i="2" s="1"/>
  <c r="O118" i="2"/>
  <c r="Q118" i="2" s="1"/>
  <c r="E132" i="2"/>
  <c r="E190" i="2" s="1"/>
  <c r="M137" i="2"/>
  <c r="I145" i="2"/>
  <c r="M145" i="2"/>
  <c r="S167" i="2"/>
  <c r="U167" i="2" s="1"/>
  <c r="O174" i="2"/>
  <c r="Q174" i="2" s="1"/>
  <c r="J184" i="2"/>
  <c r="L184" i="2" s="1"/>
  <c r="M189" i="2"/>
  <c r="S189" i="2" s="1"/>
  <c r="U189" i="2" s="1"/>
  <c r="U76" i="2"/>
  <c r="L149" i="2"/>
  <c r="J163" i="2"/>
  <c r="L163" i="2" s="1"/>
  <c r="L109" i="2"/>
  <c r="U178" i="2"/>
  <c r="R43" i="2"/>
  <c r="R44" i="2" s="1"/>
  <c r="U41" i="2"/>
  <c r="I13" i="1"/>
  <c r="M25" i="2"/>
  <c r="S25" i="2" s="1"/>
  <c r="U25" i="2" s="1"/>
  <c r="O30" i="2"/>
  <c r="J39" i="2"/>
  <c r="L39" i="2" s="1"/>
  <c r="S40" i="2"/>
  <c r="U40" i="2" s="1"/>
  <c r="E42" i="2"/>
  <c r="S46" i="2"/>
  <c r="S56" i="2"/>
  <c r="U56" i="2" s="1"/>
  <c r="O65" i="2"/>
  <c r="S81" i="2"/>
  <c r="U81" i="2" s="1"/>
  <c r="S86" i="2"/>
  <c r="U86" i="2" s="1"/>
  <c r="F91" i="2"/>
  <c r="H91" i="2" s="1"/>
  <c r="S97" i="2"/>
  <c r="U97" i="2" s="1"/>
  <c r="D99" i="2"/>
  <c r="F99" i="2" s="1"/>
  <c r="H99" i="2" s="1"/>
  <c r="S100" i="2"/>
  <c r="U100" i="2" s="1"/>
  <c r="J102" i="2"/>
  <c r="L102" i="2" s="1"/>
  <c r="J106" i="2"/>
  <c r="S108" i="2"/>
  <c r="U108" i="2" s="1"/>
  <c r="S118" i="2"/>
  <c r="U118" i="2" s="1"/>
  <c r="J129" i="2"/>
  <c r="L129" i="2" s="1"/>
  <c r="S130" i="2"/>
  <c r="U130" i="2" s="1"/>
  <c r="J134" i="2"/>
  <c r="L134" i="2" s="1"/>
  <c r="S140" i="2"/>
  <c r="U140" i="2" s="1"/>
  <c r="F149" i="2"/>
  <c r="H149" i="2" s="1"/>
  <c r="F155" i="2"/>
  <c r="H155" i="2" s="1"/>
  <c r="O158" i="2"/>
  <c r="Q158" i="2" s="1"/>
  <c r="S161" i="2"/>
  <c r="U161" i="2" s="1"/>
  <c r="O175" i="2"/>
  <c r="Q175" i="2" s="1"/>
  <c r="H187" i="2"/>
  <c r="F195" i="2"/>
  <c r="E199" i="2"/>
  <c r="H199" i="2" s="1"/>
  <c r="F204" i="2"/>
  <c r="F144" i="2"/>
  <c r="H144" i="2" s="1"/>
  <c r="F165" i="2"/>
  <c r="H165" i="2" s="1"/>
  <c r="I35" i="1"/>
  <c r="I14" i="2"/>
  <c r="J14" i="2" s="1"/>
  <c r="L14" i="2" s="1"/>
  <c r="O18" i="2"/>
  <c r="M42" i="2"/>
  <c r="O42" i="2" s="1"/>
  <c r="Q42" i="2" s="1"/>
  <c r="O77" i="2"/>
  <c r="J79" i="2"/>
  <c r="M85" i="2"/>
  <c r="O85" i="2" s="1"/>
  <c r="Q85" i="2" s="1"/>
  <c r="M88" i="2"/>
  <c r="S88" i="2" s="1"/>
  <c r="U88" i="2" s="1"/>
  <c r="R114" i="2"/>
  <c r="F122" i="2"/>
  <c r="F167" i="2"/>
  <c r="H167" i="2" s="1"/>
  <c r="F170" i="2"/>
  <c r="H170" i="2" s="1"/>
  <c r="O188" i="2"/>
  <c r="O196" i="2"/>
  <c r="M199" i="2"/>
  <c r="S199" i="2" s="1"/>
  <c r="U199" i="2" s="1"/>
  <c r="S201" i="2"/>
  <c r="F203" i="2"/>
  <c r="S12" i="2"/>
  <c r="M14" i="2"/>
  <c r="F16" i="2"/>
  <c r="Q22" i="2"/>
  <c r="J28" i="2"/>
  <c r="L28" i="2" s="1"/>
  <c r="O39" i="2"/>
  <c r="Q39" i="2" s="1"/>
  <c r="F41" i="2"/>
  <c r="D50" i="2"/>
  <c r="S52" i="2"/>
  <c r="U52" i="2" s="1"/>
  <c r="S59" i="2"/>
  <c r="U59" i="2" s="1"/>
  <c r="I67" i="2"/>
  <c r="Q77" i="2"/>
  <c r="L79" i="2"/>
  <c r="S83" i="2"/>
  <c r="U83" i="2" s="1"/>
  <c r="F87" i="2"/>
  <c r="N88" i="2"/>
  <c r="Q88" i="2" s="1"/>
  <c r="O92" i="2"/>
  <c r="F98" i="2"/>
  <c r="F101" i="2"/>
  <c r="H101" i="2" s="1"/>
  <c r="F109" i="2"/>
  <c r="H109" i="2" s="1"/>
  <c r="F113" i="2"/>
  <c r="F119" i="2"/>
  <c r="H122" i="2"/>
  <c r="J126" i="2"/>
  <c r="L126" i="2" s="1"/>
  <c r="H128" i="2"/>
  <c r="O129" i="2"/>
  <c r="Q129" i="2" s="1"/>
  <c r="F131" i="2"/>
  <c r="H131" i="2" s="1"/>
  <c r="O134" i="2"/>
  <c r="Q134" i="2" s="1"/>
  <c r="F141" i="2"/>
  <c r="H141" i="2" s="1"/>
  <c r="S147" i="2"/>
  <c r="U147" i="2" s="1"/>
  <c r="S153" i="2"/>
  <c r="U153" i="2" s="1"/>
  <c r="J157" i="2"/>
  <c r="L157" i="2" s="1"/>
  <c r="F162" i="2"/>
  <c r="S168" i="2"/>
  <c r="U168" i="2" s="1"/>
  <c r="O171" i="2"/>
  <c r="J174" i="2"/>
  <c r="L174" i="2" s="1"/>
  <c r="O185" i="2"/>
  <c r="Q185" i="2" s="1"/>
  <c r="N199" i="2"/>
  <c r="Q199" i="2" s="1"/>
  <c r="U201" i="2"/>
  <c r="O205" i="2"/>
  <c r="F212" i="2"/>
  <c r="H212" i="2" s="1"/>
  <c r="N14" i="2"/>
  <c r="F47" i="2"/>
  <c r="H47" i="2" s="1"/>
  <c r="M99" i="2"/>
  <c r="S99" i="2" s="1"/>
  <c r="U99" i="2" s="1"/>
  <c r="O123" i="2"/>
  <c r="F133" i="2"/>
  <c r="H133" i="2" s="1"/>
  <c r="J146" i="2"/>
  <c r="L146" i="2" s="1"/>
  <c r="J167" i="2"/>
  <c r="L167" i="2" s="1"/>
  <c r="J179" i="2"/>
  <c r="L179" i="2" s="1"/>
  <c r="R199" i="2"/>
  <c r="R200" i="2" s="1"/>
  <c r="O213" i="2"/>
  <c r="I50" i="2"/>
  <c r="I51" i="2" s="1"/>
  <c r="M67" i="2"/>
  <c r="J101" i="2"/>
  <c r="L101" i="2" s="1"/>
  <c r="F138" i="2"/>
  <c r="H138" i="2" s="1"/>
  <c r="O152" i="2"/>
  <c r="O155" i="2"/>
  <c r="Q155" i="2" s="1"/>
  <c r="F159" i="2"/>
  <c r="H159" i="2" s="1"/>
  <c r="F173" i="2"/>
  <c r="H173" i="2" s="1"/>
  <c r="F176" i="2"/>
  <c r="H176" i="2" s="1"/>
  <c r="O187" i="2"/>
  <c r="J212" i="2"/>
  <c r="L212" i="2" s="1"/>
  <c r="F28" i="2"/>
  <c r="H28" i="2" s="1"/>
  <c r="I30" i="1"/>
  <c r="I36" i="1"/>
  <c r="O21" i="2"/>
  <c r="F27" i="2"/>
  <c r="H27" i="2" s="1"/>
  <c r="O28" i="2"/>
  <c r="Q28" i="2" s="1"/>
  <c r="M50" i="2"/>
  <c r="M51" i="2" s="1"/>
  <c r="O51" i="2" s="1"/>
  <c r="Q51" i="2" s="1"/>
  <c r="F53" i="2"/>
  <c r="F60" i="2"/>
  <c r="H60" i="2" s="1"/>
  <c r="F66" i="2"/>
  <c r="F75" i="2"/>
  <c r="H75" i="2" s="1"/>
  <c r="O79" i="2"/>
  <c r="M82" i="2"/>
  <c r="F84" i="2"/>
  <c r="H84" i="2" s="1"/>
  <c r="J90" i="2"/>
  <c r="L90" i="2" s="1"/>
  <c r="F94" i="2"/>
  <c r="J104" i="2"/>
  <c r="L104" i="2" s="1"/>
  <c r="O105" i="2"/>
  <c r="J113" i="2"/>
  <c r="L113" i="2" s="1"/>
  <c r="F125" i="2"/>
  <c r="H125" i="2" s="1"/>
  <c r="O126" i="2"/>
  <c r="Q126" i="2" s="1"/>
  <c r="O144" i="2"/>
  <c r="Q144" i="2" s="1"/>
  <c r="F148" i="2"/>
  <c r="H148" i="2" s="1"/>
  <c r="O149" i="2"/>
  <c r="Q149" i="2" s="1"/>
  <c r="D151" i="2"/>
  <c r="J151" i="2" s="1"/>
  <c r="L151" i="2" s="1"/>
  <c r="F154" i="2"/>
  <c r="H154" i="2" s="1"/>
  <c r="O157" i="2"/>
  <c r="Q157" i="2" s="1"/>
  <c r="Q187" i="2"/>
  <c r="F202" i="2"/>
  <c r="O204" i="2"/>
  <c r="I31" i="1"/>
  <c r="F13" i="2"/>
  <c r="H13" i="2" s="1"/>
  <c r="F31" i="2"/>
  <c r="H31" i="2" s="1"/>
  <c r="J34" i="2"/>
  <c r="O38" i="2"/>
  <c r="F46" i="2"/>
  <c r="N50" i="2"/>
  <c r="N51" i="2" s="1"/>
  <c r="O54" i="2"/>
  <c r="Q54" i="2" s="1"/>
  <c r="F56" i="2"/>
  <c r="O58" i="2"/>
  <c r="Q58" i="2" s="1"/>
  <c r="Q79" i="2"/>
  <c r="F81" i="2"/>
  <c r="F86" i="2"/>
  <c r="F89" i="2"/>
  <c r="J115" i="2"/>
  <c r="L115" i="2" s="1"/>
  <c r="J138" i="2"/>
  <c r="L138" i="2" s="1"/>
  <c r="F143" i="2"/>
  <c r="H143" i="2" s="1"/>
  <c r="O146" i="2"/>
  <c r="Q146" i="2" s="1"/>
  <c r="O170" i="2"/>
  <c r="Q170" i="2" s="1"/>
  <c r="O179" i="2"/>
  <c r="U46" i="2"/>
  <c r="H116" i="2"/>
  <c r="F15" i="2"/>
  <c r="H15" i="2" s="1"/>
  <c r="D19" i="2"/>
  <c r="J19" i="2" s="1"/>
  <c r="L19" i="2" s="1"/>
  <c r="O35" i="2"/>
  <c r="Q35" i="2" s="1"/>
  <c r="D37" i="2"/>
  <c r="D43" i="2" s="1"/>
  <c r="F40" i="2"/>
  <c r="H40" i="2" s="1"/>
  <c r="E78" i="2"/>
  <c r="F78" i="2" s="1"/>
  <c r="H78" i="2" s="1"/>
  <c r="R82" i="2"/>
  <c r="R112" i="2" s="1"/>
  <c r="O95" i="2"/>
  <c r="Q95" i="2" s="1"/>
  <c r="F97" i="2"/>
  <c r="H97" i="2" s="1"/>
  <c r="O101" i="2"/>
  <c r="Q101" i="2" s="1"/>
  <c r="O131" i="2"/>
  <c r="Q131" i="2" s="1"/>
  <c r="F135" i="2"/>
  <c r="H135" i="2" s="1"/>
  <c r="O141" i="2"/>
  <c r="Q141" i="2" s="1"/>
  <c r="S152" i="2"/>
  <c r="J178" i="2"/>
  <c r="L178" i="2" s="1"/>
  <c r="S187" i="2"/>
  <c r="U187" i="2" s="1"/>
  <c r="D189" i="2"/>
  <c r="F189" i="2" s="1"/>
  <c r="F157" i="2"/>
  <c r="H157" i="2" s="1"/>
  <c r="I78" i="2"/>
  <c r="I112" i="2" s="1"/>
  <c r="S146" i="2"/>
  <c r="U146" i="2" s="1"/>
  <c r="D156" i="2"/>
  <c r="F156" i="2" s="1"/>
  <c r="H156" i="2" s="1"/>
  <c r="O181" i="2"/>
  <c r="Q181" i="2" s="1"/>
  <c r="H201" i="2"/>
  <c r="S163" i="2"/>
  <c r="O168" i="2"/>
  <c r="Q168" i="2" s="1"/>
  <c r="I37" i="2"/>
  <c r="I43" i="2" s="1"/>
  <c r="J86" i="2"/>
  <c r="L86" i="2" s="1"/>
  <c r="F183" i="2"/>
  <c r="H183" i="2" s="1"/>
  <c r="M186" i="2"/>
  <c r="O186" i="2" s="1"/>
  <c r="Q186" i="2" s="1"/>
  <c r="O198" i="2"/>
  <c r="H21" i="2"/>
  <c r="M19" i="2"/>
  <c r="F188" i="2"/>
  <c r="S212" i="2"/>
  <c r="U212" i="2" s="1"/>
  <c r="S16" i="2"/>
  <c r="U16" i="2" s="1"/>
  <c r="F22" i="2"/>
  <c r="J30" i="2"/>
  <c r="S41" i="2"/>
  <c r="O53" i="2"/>
  <c r="O66" i="2"/>
  <c r="S69" i="2"/>
  <c r="U69" i="2" s="1"/>
  <c r="S90" i="2"/>
  <c r="U90" i="2" s="1"/>
  <c r="F92" i="2"/>
  <c r="O94" i="2"/>
  <c r="S115" i="2"/>
  <c r="U115" i="2" s="1"/>
  <c r="F117" i="2"/>
  <c r="D132" i="2"/>
  <c r="J132" i="2" s="1"/>
  <c r="L132" i="2" s="1"/>
  <c r="O164" i="2"/>
  <c r="Q164" i="2" s="1"/>
  <c r="O169" i="2"/>
  <c r="F171" i="2"/>
  <c r="J26" i="2"/>
  <c r="L26" i="2" s="1"/>
  <c r="S121" i="2"/>
  <c r="U121" i="2" s="1"/>
  <c r="S127" i="2"/>
  <c r="U127" i="2" s="1"/>
  <c r="O100" i="2"/>
  <c r="Q100" i="2" s="1"/>
  <c r="S111" i="2"/>
  <c r="U111" i="2" s="1"/>
  <c r="N43" i="2"/>
  <c r="E20" i="2"/>
  <c r="J206" i="2"/>
  <c r="L206" i="2" s="1"/>
  <c r="I20" i="2"/>
  <c r="M20" i="2"/>
  <c r="S156" i="2"/>
  <c r="U156" i="2" s="1"/>
  <c r="F32" i="2"/>
  <c r="H32" i="2" s="1"/>
  <c r="F88" i="2"/>
  <c r="F166" i="2"/>
  <c r="H166" i="2" s="1"/>
  <c r="O206" i="2"/>
  <c r="S206" i="2"/>
  <c r="U206" i="2" s="1"/>
  <c r="F163" i="2"/>
  <c r="F180" i="2"/>
  <c r="F25" i="2"/>
  <c r="H25" i="2" s="1"/>
  <c r="O111" i="2"/>
  <c r="Q111" i="2" s="1"/>
  <c r="H114" i="2"/>
  <c r="J199" i="2"/>
  <c r="L199" i="2" s="1"/>
  <c r="H206" i="2"/>
  <c r="J25" i="2"/>
  <c r="L25" i="2" s="1"/>
  <c r="S180" i="2"/>
  <c r="U180" i="2" s="1"/>
  <c r="F42" i="2"/>
  <c r="H42" i="2" s="1"/>
  <c r="O88" i="2"/>
  <c r="O114" i="2"/>
  <c r="J99" i="2"/>
  <c r="L99" i="2" s="1"/>
  <c r="H163" i="2"/>
  <c r="J166" i="2"/>
  <c r="L166" i="2" s="1"/>
  <c r="S132" i="2"/>
  <c r="U132" i="2" s="1"/>
  <c r="F137" i="2"/>
  <c r="H137" i="2" s="1"/>
  <c r="F14" i="2"/>
  <c r="H14" i="2" s="1"/>
  <c r="J85" i="2"/>
  <c r="L85" i="2" s="1"/>
  <c r="F111" i="2"/>
  <c r="H111" i="2" s="1"/>
  <c r="J189" i="2"/>
  <c r="L189" i="2" s="1"/>
  <c r="O37" i="2"/>
  <c r="Q37" i="2" s="1"/>
  <c r="F67" i="2"/>
  <c r="H67" i="2" s="1"/>
  <c r="F82" i="2"/>
  <c r="H82" i="2" s="1"/>
  <c r="F127" i="2"/>
  <c r="H127" i="2" s="1"/>
  <c r="J137" i="2"/>
  <c r="L137" i="2" s="1"/>
  <c r="S137" i="2"/>
  <c r="U137" i="2" s="1"/>
  <c r="U163" i="2"/>
  <c r="O214" i="2"/>
  <c r="Q214" i="2" s="1"/>
  <c r="N20" i="2"/>
  <c r="N44" i="2" s="1"/>
  <c r="U37" i="2"/>
  <c r="J111" i="2"/>
  <c r="L111" i="2" s="1"/>
  <c r="J177" i="2"/>
  <c r="L177" i="2" s="1"/>
  <c r="J103" i="16"/>
  <c r="F103" i="16"/>
  <c r="S210" i="16"/>
  <c r="S115" i="16"/>
  <c r="U115" i="16" s="1"/>
  <c r="O115" i="16"/>
  <c r="Q115" i="16" s="1"/>
  <c r="J115" i="16"/>
  <c r="L115" i="16" s="1"/>
  <c r="F115" i="16"/>
  <c r="H115" i="16" s="1"/>
  <c r="Q220" i="16"/>
  <c r="N221" i="16"/>
  <c r="Q221" i="16" s="1"/>
  <c r="F88" i="16"/>
  <c r="H88" i="16" s="1"/>
  <c r="J88" i="16"/>
  <c r="L88" i="16" s="1"/>
  <c r="N55" i="16"/>
  <c r="E107" i="16"/>
  <c r="H116" i="10" s="1"/>
  <c r="R221" i="16"/>
  <c r="U210" i="16"/>
  <c r="J126" i="16"/>
  <c r="L126" i="16" s="1"/>
  <c r="F126" i="16"/>
  <c r="J209" i="16"/>
  <c r="L209" i="16" s="1"/>
  <c r="F209" i="16"/>
  <c r="Q202" i="16"/>
  <c r="N210" i="16"/>
  <c r="O210" i="16" s="1"/>
  <c r="O202" i="16"/>
  <c r="S176" i="16"/>
  <c r="O176" i="16"/>
  <c r="Q176" i="16" s="1"/>
  <c r="I107" i="16"/>
  <c r="L68" i="16"/>
  <c r="R107" i="16"/>
  <c r="J162" i="16"/>
  <c r="L162" i="16" s="1"/>
  <c r="H40" i="16"/>
  <c r="J145" i="16"/>
  <c r="L145" i="16" s="1"/>
  <c r="F145" i="16"/>
  <c r="J68" i="16"/>
  <c r="L103" i="16"/>
  <c r="J173" i="16"/>
  <c r="F173" i="16"/>
  <c r="S92" i="16"/>
  <c r="U92" i="16" s="1"/>
  <c r="O92" i="16"/>
  <c r="S81" i="16"/>
  <c r="O81" i="16"/>
  <c r="S145" i="16"/>
  <c r="U145" i="16" s="1"/>
  <c r="O145" i="16"/>
  <c r="Q145" i="16" s="1"/>
  <c r="F162" i="16"/>
  <c r="H162" i="16" s="1"/>
  <c r="E48" i="16"/>
  <c r="H43" i="10" s="1"/>
  <c r="I48" i="16"/>
  <c r="J48" i="16" s="1"/>
  <c r="S15" i="16"/>
  <c r="O15" i="16"/>
  <c r="Q15" i="16" s="1"/>
  <c r="M25" i="16"/>
  <c r="O54" i="16"/>
  <c r="Q54" i="16" s="1"/>
  <c r="N48" i="16"/>
  <c r="O48" i="16" s="1"/>
  <c r="Q35" i="16"/>
  <c r="I55" i="16"/>
  <c r="H30" i="16"/>
  <c r="J81" i="16"/>
  <c r="F81" i="16"/>
  <c r="L29" i="16"/>
  <c r="I30" i="16"/>
  <c r="S173" i="16"/>
  <c r="U173" i="16" s="1"/>
  <c r="O173" i="16"/>
  <c r="Q173" i="16" s="1"/>
  <c r="S185" i="16"/>
  <c r="O185" i="16"/>
  <c r="F210" i="16"/>
  <c r="S24" i="16"/>
  <c r="U24" i="16" s="1"/>
  <c r="O24" i="16"/>
  <c r="Q24" i="16" s="1"/>
  <c r="J42" i="16"/>
  <c r="L42" i="16" s="1"/>
  <c r="H103" i="16"/>
  <c r="O220" i="16"/>
  <c r="M221" i="16"/>
  <c r="S220" i="16"/>
  <c r="U220" i="16" s="1"/>
  <c r="N188" i="16"/>
  <c r="F92" i="16"/>
  <c r="J92" i="16"/>
  <c r="L92" i="16" s="1"/>
  <c r="J176" i="16"/>
  <c r="L176" i="16" s="1"/>
  <c r="F176" i="16"/>
  <c r="R48" i="16"/>
  <c r="Q185" i="16"/>
  <c r="L220" i="16"/>
  <c r="I221" i="16"/>
  <c r="F54" i="16"/>
  <c r="H54" i="16" s="1"/>
  <c r="D55" i="16"/>
  <c r="J54" i="16"/>
  <c r="L54" i="16" s="1"/>
  <c r="L173" i="16"/>
  <c r="F151" i="16"/>
  <c r="H151" i="16" s="1"/>
  <c r="J151" i="16"/>
  <c r="L151" i="16" s="1"/>
  <c r="S162" i="16"/>
  <c r="U162" i="16" s="1"/>
  <c r="O162" i="16"/>
  <c r="Q162" i="16" s="1"/>
  <c r="S17" i="16"/>
  <c r="O17" i="16"/>
  <c r="F185" i="16"/>
  <c r="H185" i="16" s="1"/>
  <c r="J185" i="16"/>
  <c r="L185" i="16" s="1"/>
  <c r="J109" i="16"/>
  <c r="L109" i="16" s="1"/>
  <c r="F109" i="16"/>
  <c r="H109" i="16" s="1"/>
  <c r="D188" i="16"/>
  <c r="H173" i="16"/>
  <c r="L139" i="16"/>
  <c r="F35" i="16"/>
  <c r="H35" i="16" s="1"/>
  <c r="S30" i="16"/>
  <c r="U30" i="16" s="1"/>
  <c r="N30" i="16"/>
  <c r="H187" i="16"/>
  <c r="F187" i="16"/>
  <c r="E188" i="16"/>
  <c r="H199" i="10" s="1"/>
  <c r="F159" i="16"/>
  <c r="H159" i="16" s="1"/>
  <c r="J159" i="16"/>
  <c r="L159" i="16" s="1"/>
  <c r="S159" i="16"/>
  <c r="U159" i="16" s="1"/>
  <c r="O159" i="16"/>
  <c r="Q159" i="16" s="1"/>
  <c r="S103" i="16"/>
  <c r="U103" i="16" s="1"/>
  <c r="O103" i="16"/>
  <c r="Q103" i="16" s="1"/>
  <c r="M188" i="16"/>
  <c r="S109" i="16"/>
  <c r="U109" i="16" s="1"/>
  <c r="O109" i="16"/>
  <c r="Q109" i="16" s="1"/>
  <c r="O88" i="16"/>
  <c r="Q88" i="16" s="1"/>
  <c r="S88" i="16"/>
  <c r="U88" i="16" s="1"/>
  <c r="H145" i="16"/>
  <c r="I25" i="16"/>
  <c r="S85" i="16"/>
  <c r="O85" i="16"/>
  <c r="Q85" i="16" s="1"/>
  <c r="R211" i="16"/>
  <c r="L24" i="16"/>
  <c r="M107" i="16"/>
  <c r="S68" i="16"/>
  <c r="U68" i="16" s="1"/>
  <c r="O68" i="16"/>
  <c r="Q68" i="16" s="1"/>
  <c r="H220" i="16"/>
  <c r="E221" i="16"/>
  <c r="H232" i="10" s="1"/>
  <c r="H176" i="16"/>
  <c r="H126" i="16"/>
  <c r="L85" i="16"/>
  <c r="O200" i="16"/>
  <c r="Q200" i="16" s="1"/>
  <c r="M211" i="16"/>
  <c r="S200" i="16"/>
  <c r="U200" i="16" s="1"/>
  <c r="F68" i="16"/>
  <c r="H68" i="16" s="1"/>
  <c r="U15" i="16"/>
  <c r="R25" i="16"/>
  <c r="E211" i="16"/>
  <c r="H222" i="10" s="1"/>
  <c r="J15" i="16"/>
  <c r="L15" i="16" s="1"/>
  <c r="U176" i="16"/>
  <c r="U185" i="16"/>
  <c r="L202" i="16"/>
  <c r="I210" i="16"/>
  <c r="Q151" i="16"/>
  <c r="S126" i="16"/>
  <c r="U126" i="16" s="1"/>
  <c r="O126" i="16"/>
  <c r="Q126" i="16" s="1"/>
  <c r="J131" i="16"/>
  <c r="L131" i="16" s="1"/>
  <c r="O121" i="16"/>
  <c r="Q121" i="16" s="1"/>
  <c r="H47" i="16"/>
  <c r="D49" i="16"/>
  <c r="F25" i="16"/>
  <c r="H25" i="16" s="1"/>
  <c r="F121" i="16"/>
  <c r="H121" i="16" s="1"/>
  <c r="J199" i="16"/>
  <c r="L199" i="16" s="1"/>
  <c r="F199" i="16"/>
  <c r="H199" i="16" s="1"/>
  <c r="D200" i="16"/>
  <c r="G211" i="10" s="1"/>
  <c r="J106" i="16"/>
  <c r="F106" i="16"/>
  <c r="S139" i="16"/>
  <c r="U139" i="16" s="1"/>
  <c r="O139" i="16"/>
  <c r="Q139" i="16" s="1"/>
  <c r="U131" i="16"/>
  <c r="D107" i="16"/>
  <c r="U85" i="16"/>
  <c r="S47" i="16"/>
  <c r="U47" i="16" s="1"/>
  <c r="O47" i="16"/>
  <c r="Q47" i="16" s="1"/>
  <c r="O29" i="16"/>
  <c r="Q29" i="16" s="1"/>
  <c r="M21" i="1"/>
  <c r="F8" i="10"/>
  <c r="E42" i="10"/>
  <c r="I103" i="10"/>
  <c r="C124" i="10"/>
  <c r="F130" i="10"/>
  <c r="D195" i="10"/>
  <c r="F198" i="10"/>
  <c r="D154" i="10"/>
  <c r="F124" i="10"/>
  <c r="F195" i="10"/>
  <c r="D220" i="10"/>
  <c r="D198" i="10"/>
  <c r="F42" i="10"/>
  <c r="F170" i="10"/>
  <c r="I124" i="10"/>
  <c r="D42" i="10"/>
  <c r="D210" i="10"/>
  <c r="E6" i="10"/>
  <c r="C231" i="10"/>
  <c r="F6" i="10"/>
  <c r="C23" i="10"/>
  <c r="I30" i="10"/>
  <c r="E231" i="10"/>
  <c r="F185" i="10"/>
  <c r="E30" i="10"/>
  <c r="F30" i="10"/>
  <c r="D23" i="10"/>
  <c r="C49" i="10"/>
  <c r="C135" i="10"/>
  <c r="C167" i="10"/>
  <c r="D135" i="10"/>
  <c r="E154" i="10"/>
  <c r="E167" i="10"/>
  <c r="C85" i="10"/>
  <c r="E135" i="10"/>
  <c r="F167" i="10"/>
  <c r="F182" i="10"/>
  <c r="E103" i="10"/>
  <c r="I185" i="10"/>
  <c r="I170" i="10"/>
  <c r="F220" i="10"/>
  <c r="I49" i="10"/>
  <c r="C8" i="10"/>
  <c r="D30" i="10"/>
  <c r="E67" i="10"/>
  <c r="F140" i="10"/>
  <c r="D81" i="10"/>
  <c r="F67" i="10"/>
  <c r="F63" i="8"/>
  <c r="F34" i="8"/>
  <c r="H34" i="8" s="1"/>
  <c r="E39" i="11" s="1"/>
  <c r="K41" i="1"/>
  <c r="F86" i="8"/>
  <c r="H86" i="8" s="1"/>
  <c r="K42" i="1"/>
  <c r="F10" i="8"/>
  <c r="H10" i="8" s="1"/>
  <c r="F74" i="8"/>
  <c r="F36" i="8"/>
  <c r="H36" i="8" s="1"/>
  <c r="H84" i="8"/>
  <c r="E82" i="11"/>
  <c r="G99" i="8"/>
  <c r="G101" i="8" s="1"/>
  <c r="F27" i="8"/>
  <c r="H27" i="8" s="1"/>
  <c r="E5" i="11"/>
  <c r="I41" i="1"/>
  <c r="F10" i="7"/>
  <c r="H10" i="7" s="1"/>
  <c r="F19" i="7"/>
  <c r="C16" i="11" s="1"/>
  <c r="H30" i="7"/>
  <c r="D32" i="11" s="1"/>
  <c r="H70" i="7"/>
  <c r="C62" i="11"/>
  <c r="C44" i="11"/>
  <c r="C19" i="11"/>
  <c r="D39" i="11"/>
  <c r="C6" i="11"/>
  <c r="C59" i="11"/>
  <c r="C40" i="11"/>
  <c r="C18" i="11"/>
  <c r="C58" i="11"/>
  <c r="C17" i="11"/>
  <c r="H52" i="7"/>
  <c r="D57" i="11" s="1"/>
  <c r="F39" i="7"/>
  <c r="H39" i="7" s="1"/>
  <c r="C112" i="11"/>
  <c r="C36" i="11"/>
  <c r="F12" i="7"/>
  <c r="H12" i="7" s="1"/>
  <c r="D7" i="11" s="1"/>
  <c r="H43" i="7"/>
  <c r="D47" i="11" s="1"/>
  <c r="C108" i="11"/>
  <c r="C55" i="11"/>
  <c r="C35" i="11"/>
  <c r="D80" i="11"/>
  <c r="F66" i="7"/>
  <c r="C74" i="11" s="1"/>
  <c r="F84" i="7"/>
  <c r="C95" i="11" s="1"/>
  <c r="C97" i="11"/>
  <c r="C34" i="11"/>
  <c r="H44" i="7"/>
  <c r="D49" i="11" s="1"/>
  <c r="C91" i="11"/>
  <c r="C53" i="11"/>
  <c r="C33" i="11"/>
  <c r="C52" i="11"/>
  <c r="C32" i="11"/>
  <c r="F87" i="7"/>
  <c r="H87" i="7" s="1"/>
  <c r="C51" i="11"/>
  <c r="C30" i="11"/>
  <c r="C50" i="11"/>
  <c r="C29" i="11"/>
  <c r="G59" i="7"/>
  <c r="G61" i="7" s="1"/>
  <c r="H58" i="7"/>
  <c r="D65" i="11" s="1"/>
  <c r="C28" i="11"/>
  <c r="C27" i="11"/>
  <c r="F92" i="7"/>
  <c r="H92" i="7" s="1"/>
  <c r="C47" i="11"/>
  <c r="C26" i="11"/>
  <c r="D44" i="6"/>
  <c r="M7" i="1"/>
  <c r="I18" i="10"/>
  <c r="D50" i="6"/>
  <c r="U162" i="4"/>
  <c r="Q33" i="4"/>
  <c r="U118" i="4"/>
  <c r="E198" i="10"/>
  <c r="J82" i="4"/>
  <c r="U89" i="4"/>
  <c r="F151" i="4"/>
  <c r="H151" i="4" s="1"/>
  <c r="F159" i="4"/>
  <c r="H159" i="4" s="1"/>
  <c r="F185" i="4"/>
  <c r="H185" i="4" s="1"/>
  <c r="U21" i="4"/>
  <c r="F177" i="4"/>
  <c r="H177" i="4" s="1"/>
  <c r="J45" i="4"/>
  <c r="L45" i="4" s="1"/>
  <c r="L141" i="4"/>
  <c r="L162" i="4"/>
  <c r="J177" i="4"/>
  <c r="S38" i="4"/>
  <c r="U38" i="4" s="1"/>
  <c r="S54" i="4"/>
  <c r="J118" i="4"/>
  <c r="L188" i="4"/>
  <c r="J15" i="4"/>
  <c r="L15" i="4" s="1"/>
  <c r="S27" i="4"/>
  <c r="D46" i="4"/>
  <c r="E43" i="10" s="1"/>
  <c r="S45" i="4"/>
  <c r="U45" i="4" s="1"/>
  <c r="N54" i="4"/>
  <c r="O151" i="4"/>
  <c r="Q151" i="4" s="1"/>
  <c r="O162" i="4"/>
  <c r="Q162" i="4" s="1"/>
  <c r="O174" i="4"/>
  <c r="Q174" i="4" s="1"/>
  <c r="I46" i="4"/>
  <c r="J46" i="4" s="1"/>
  <c r="L46" i="4" s="1"/>
  <c r="U151" i="4"/>
  <c r="M46" i="4"/>
  <c r="M47" i="4" s="1"/>
  <c r="U103" i="4"/>
  <c r="O15" i="4"/>
  <c r="Q15" i="4" s="1"/>
  <c r="F89" i="4"/>
  <c r="J199" i="4"/>
  <c r="L199" i="4" s="1"/>
  <c r="R22" i="4"/>
  <c r="R47" i="4" s="1"/>
  <c r="O146" i="4"/>
  <c r="Q146" i="4" s="1"/>
  <c r="O205" i="4"/>
  <c r="J86" i="4"/>
  <c r="L86" i="4" s="1"/>
  <c r="J110" i="4"/>
  <c r="U215" i="4"/>
  <c r="E189" i="4"/>
  <c r="F199" i="10" s="1"/>
  <c r="S146" i="4"/>
  <c r="U146" i="4" s="1"/>
  <c r="I189" i="4"/>
  <c r="F124" i="4"/>
  <c r="H124" i="4" s="1"/>
  <c r="S205" i="4"/>
  <c r="U205" i="4" s="1"/>
  <c r="S21" i="4"/>
  <c r="O26" i="4"/>
  <c r="Q26" i="4" s="1"/>
  <c r="O53" i="4"/>
  <c r="Q53" i="4" s="1"/>
  <c r="S86" i="4"/>
  <c r="U86" i="4" s="1"/>
  <c r="O110" i="4"/>
  <c r="Q110" i="4" s="1"/>
  <c r="S113" i="4"/>
  <c r="U113" i="4" s="1"/>
  <c r="S198" i="4"/>
  <c r="U198" i="4" s="1"/>
  <c r="E206" i="4"/>
  <c r="S121" i="3"/>
  <c r="U121" i="3" s="1"/>
  <c r="O145" i="3"/>
  <c r="Q145" i="3" s="1"/>
  <c r="F127" i="3"/>
  <c r="O163" i="3"/>
  <c r="Q163" i="3" s="1"/>
  <c r="O219" i="3"/>
  <c r="S163" i="3"/>
  <c r="U163" i="3" s="1"/>
  <c r="I22" i="3"/>
  <c r="J38" i="3"/>
  <c r="L38" i="3" s="1"/>
  <c r="O137" i="3"/>
  <c r="Q137" i="3" s="1"/>
  <c r="S15" i="3"/>
  <c r="U15" i="3" s="1"/>
  <c r="F26" i="3"/>
  <c r="H26" i="3" s="1"/>
  <c r="R44" i="3"/>
  <c r="U137" i="3"/>
  <c r="J21" i="3"/>
  <c r="J26" i="3"/>
  <c r="J181" i="3"/>
  <c r="L181" i="3" s="1"/>
  <c r="O38" i="3"/>
  <c r="Q38" i="3" s="1"/>
  <c r="F86" i="3"/>
  <c r="H86" i="3" s="1"/>
  <c r="F100" i="3"/>
  <c r="J132" i="3"/>
  <c r="L132" i="3" s="1"/>
  <c r="F89" i="3"/>
  <c r="D51" i="3"/>
  <c r="F51" i="3" s="1"/>
  <c r="H51" i="3" s="1"/>
  <c r="O155" i="3"/>
  <c r="Q155" i="3" s="1"/>
  <c r="O83" i="3"/>
  <c r="Q83" i="3" s="1"/>
  <c r="Q178" i="3"/>
  <c r="J189" i="3"/>
  <c r="L189" i="3" s="1"/>
  <c r="U83" i="3"/>
  <c r="F121" i="3"/>
  <c r="H121" i="3" s="1"/>
  <c r="J145" i="3"/>
  <c r="L145" i="3" s="1"/>
  <c r="F151" i="3"/>
  <c r="H151" i="3" s="1"/>
  <c r="S83" i="3"/>
  <c r="S115" i="3"/>
  <c r="J163" i="3"/>
  <c r="L57" i="1"/>
  <c r="F18" i="10"/>
  <c r="E47" i="4"/>
  <c r="F44" i="10" s="1"/>
  <c r="L118" i="4"/>
  <c r="U134" i="4"/>
  <c r="U174" i="4"/>
  <c r="F216" i="4"/>
  <c r="E232" i="10"/>
  <c r="J216" i="4"/>
  <c r="O22" i="4"/>
  <c r="Q22" i="4" s="1"/>
  <c r="E221" i="10"/>
  <c r="H216" i="4"/>
  <c r="F232" i="10"/>
  <c r="U69" i="4"/>
  <c r="H89" i="4"/>
  <c r="E24" i="10"/>
  <c r="F27" i="4"/>
  <c r="H27" i="4" s="1"/>
  <c r="L216" i="4"/>
  <c r="U54" i="4"/>
  <c r="U27" i="4"/>
  <c r="S15" i="4"/>
  <c r="U15" i="4" s="1"/>
  <c r="F45" i="4"/>
  <c r="H45" i="4" s="1"/>
  <c r="O82" i="4"/>
  <c r="O188" i="4"/>
  <c r="F215" i="4"/>
  <c r="L89" i="4"/>
  <c r="U110" i="4"/>
  <c r="Q118" i="4"/>
  <c r="J124" i="4"/>
  <c r="L124" i="4" s="1"/>
  <c r="L151" i="4"/>
  <c r="J159" i="4"/>
  <c r="L159" i="4" s="1"/>
  <c r="L177" i="4"/>
  <c r="J185" i="4"/>
  <c r="L185" i="4" s="1"/>
  <c r="H215" i="4"/>
  <c r="Q40" i="4"/>
  <c r="O21" i="4"/>
  <c r="Q21" i="4" s="1"/>
  <c r="F26" i="4"/>
  <c r="H26" i="4" s="1"/>
  <c r="I27" i="4"/>
  <c r="F69" i="4"/>
  <c r="H69" i="4" s="1"/>
  <c r="F86" i="4"/>
  <c r="H86" i="4" s="1"/>
  <c r="S92" i="4"/>
  <c r="U92" i="4" s="1"/>
  <c r="D111" i="4"/>
  <c r="E116" i="10" s="1"/>
  <c r="F174" i="4"/>
  <c r="H174" i="4" s="1"/>
  <c r="M199" i="4"/>
  <c r="F205" i="4"/>
  <c r="I206" i="4"/>
  <c r="J206" i="4" s="1"/>
  <c r="F231" i="10"/>
  <c r="O38" i="4"/>
  <c r="Q38" i="4" s="1"/>
  <c r="F103" i="4"/>
  <c r="H103" i="4" s="1"/>
  <c r="E111" i="4"/>
  <c r="O134" i="4"/>
  <c r="Q134" i="4" s="1"/>
  <c r="H205" i="4"/>
  <c r="J215" i="4"/>
  <c r="L215" i="4" s="1"/>
  <c r="M216" i="4"/>
  <c r="N46" i="4"/>
  <c r="F211" i="10"/>
  <c r="I111" i="4"/>
  <c r="N216" i="4"/>
  <c r="Q216" i="4" s="1"/>
  <c r="E182" i="10"/>
  <c r="J26" i="4"/>
  <c r="L26" i="4" s="1"/>
  <c r="F33" i="4"/>
  <c r="H33" i="4" s="1"/>
  <c r="J69" i="4"/>
  <c r="L69" i="4" s="1"/>
  <c r="M111" i="4"/>
  <c r="F198" i="4"/>
  <c r="H198" i="4" s="1"/>
  <c r="J205" i="4"/>
  <c r="L205" i="4" s="1"/>
  <c r="M206" i="4"/>
  <c r="F15" i="4"/>
  <c r="H15" i="4" s="1"/>
  <c r="N27" i="4"/>
  <c r="O54" i="4"/>
  <c r="Q54" i="4" s="1"/>
  <c r="J103" i="4"/>
  <c r="L103" i="4" s="1"/>
  <c r="F110" i="4"/>
  <c r="H110" i="4" s="1"/>
  <c r="N111" i="4"/>
  <c r="O141" i="4"/>
  <c r="Q141" i="4" s="1"/>
  <c r="F146" i="4"/>
  <c r="H146" i="4" s="1"/>
  <c r="R199" i="4"/>
  <c r="N206" i="4"/>
  <c r="Q206" i="4" s="1"/>
  <c r="D22" i="4"/>
  <c r="O45" i="4"/>
  <c r="Q45" i="4" s="1"/>
  <c r="R111" i="4"/>
  <c r="M189" i="4"/>
  <c r="O215" i="4"/>
  <c r="R216" i="4"/>
  <c r="S53" i="4"/>
  <c r="U53" i="4" s="1"/>
  <c r="J33" i="4"/>
  <c r="L33" i="4" s="1"/>
  <c r="F92" i="4"/>
  <c r="S124" i="4"/>
  <c r="U124" i="4" s="1"/>
  <c r="J129" i="4"/>
  <c r="L129" i="4" s="1"/>
  <c r="S159" i="4"/>
  <c r="U159" i="4" s="1"/>
  <c r="S185" i="4"/>
  <c r="U185" i="4" s="1"/>
  <c r="N189" i="4"/>
  <c r="E23" i="10"/>
  <c r="O69" i="4"/>
  <c r="Q69" i="4" s="1"/>
  <c r="F82" i="4"/>
  <c r="O86" i="4"/>
  <c r="Q86" i="4" s="1"/>
  <c r="O113" i="4"/>
  <c r="Q113" i="4" s="1"/>
  <c r="F118" i="4"/>
  <c r="H118" i="4" s="1"/>
  <c r="S141" i="4"/>
  <c r="U141" i="4" s="1"/>
  <c r="J146" i="4"/>
  <c r="L146" i="4" s="1"/>
  <c r="F162" i="4"/>
  <c r="H162" i="4" s="1"/>
  <c r="F188" i="4"/>
  <c r="R189" i="4"/>
  <c r="K5" i="1"/>
  <c r="N5" i="1" s="1"/>
  <c r="O103" i="4"/>
  <c r="Q103" i="4" s="1"/>
  <c r="O198" i="4"/>
  <c r="Q198" i="4" s="1"/>
  <c r="E220" i="10"/>
  <c r="I22" i="4"/>
  <c r="O129" i="4"/>
  <c r="Q129" i="4" s="1"/>
  <c r="F134" i="4"/>
  <c r="H134" i="4" s="1"/>
  <c r="H180" i="2"/>
  <c r="S20" i="2"/>
  <c r="U20" i="2" s="1"/>
  <c r="Q78" i="2"/>
  <c r="I208" i="2"/>
  <c r="S207" i="2"/>
  <c r="U207" i="2" s="1"/>
  <c r="L186" i="2"/>
  <c r="R208" i="2"/>
  <c r="O215" i="2"/>
  <c r="Q215" i="2" s="1"/>
  <c r="S215" i="2"/>
  <c r="U215" i="2" s="1"/>
  <c r="O156" i="2"/>
  <c r="Q156" i="2" s="1"/>
  <c r="F37" i="2"/>
  <c r="H37" i="2" s="1"/>
  <c r="O14" i="2"/>
  <c r="Q14" i="2" s="1"/>
  <c r="R51" i="2"/>
  <c r="F177" i="2"/>
  <c r="H177" i="2" s="1"/>
  <c r="F186" i="2"/>
  <c r="H186" i="2" s="1"/>
  <c r="S214" i="2"/>
  <c r="U214" i="2" s="1"/>
  <c r="O32" i="2"/>
  <c r="Q32" i="2" s="1"/>
  <c r="O137" i="2"/>
  <c r="Q137" i="2" s="1"/>
  <c r="F207" i="2"/>
  <c r="S32" i="2"/>
  <c r="U32" i="2" s="1"/>
  <c r="J37" i="2"/>
  <c r="L37" i="2" s="1"/>
  <c r="O145" i="2"/>
  <c r="Q145" i="2" s="1"/>
  <c r="O180" i="2"/>
  <c r="Q180" i="2" s="1"/>
  <c r="O189" i="2"/>
  <c r="S14" i="2"/>
  <c r="U14" i="2" s="1"/>
  <c r="F26" i="2"/>
  <c r="H26" i="2" s="1"/>
  <c r="O82" i="2"/>
  <c r="Q82" i="2" s="1"/>
  <c r="O127" i="2"/>
  <c r="Q127" i="2" s="1"/>
  <c r="F132" i="2"/>
  <c r="H132" i="2" s="1"/>
  <c r="F206" i="2"/>
  <c r="E215" i="2"/>
  <c r="L180" i="2"/>
  <c r="E51" i="2"/>
  <c r="S82" i="2"/>
  <c r="U82" i="2" s="1"/>
  <c r="I215" i="2"/>
  <c r="F85" i="2"/>
  <c r="H85" i="2" s="1"/>
  <c r="S19" i="2"/>
  <c r="U19" i="2" s="1"/>
  <c r="J121" i="2"/>
  <c r="L121" i="2" s="1"/>
  <c r="S151" i="2"/>
  <c r="U151" i="2" s="1"/>
  <c r="J156" i="2"/>
  <c r="L156" i="2" s="1"/>
  <c r="S177" i="2"/>
  <c r="U177" i="2" s="1"/>
  <c r="D167" i="10"/>
  <c r="S26" i="3"/>
  <c r="U26" i="3" s="1"/>
  <c r="S89" i="3"/>
  <c r="N193" i="3"/>
  <c r="J155" i="3"/>
  <c r="E22" i="3"/>
  <c r="D18" i="10" s="1"/>
  <c r="U115" i="3"/>
  <c r="S145" i="3"/>
  <c r="U145" i="3" s="1"/>
  <c r="D44" i="3"/>
  <c r="F50" i="3"/>
  <c r="H50" i="3" s="1"/>
  <c r="F79" i="3"/>
  <c r="H79" i="3" s="1"/>
  <c r="O127" i="3"/>
  <c r="Q127" i="3" s="1"/>
  <c r="F192" i="3"/>
  <c r="D49" i="10"/>
  <c r="Q15" i="3"/>
  <c r="M27" i="3"/>
  <c r="S27" i="3" s="1"/>
  <c r="U27" i="3" s="1"/>
  <c r="F43" i="3"/>
  <c r="J67" i="3"/>
  <c r="H100" i="3"/>
  <c r="H192" i="3"/>
  <c r="H43" i="3"/>
  <c r="E113" i="3"/>
  <c r="R193" i="3"/>
  <c r="R194" i="3" s="1"/>
  <c r="J151" i="3"/>
  <c r="L151" i="3" s="1"/>
  <c r="J33" i="3"/>
  <c r="L33" i="3" s="1"/>
  <c r="S155" i="3"/>
  <c r="U155" i="3" s="1"/>
  <c r="O192" i="3"/>
  <c r="C42" i="10"/>
  <c r="S33" i="3"/>
  <c r="U33" i="3" s="1"/>
  <c r="O43" i="3"/>
  <c r="Q43" i="3" s="1"/>
  <c r="O67" i="3"/>
  <c r="S79" i="3"/>
  <c r="U79" i="3" s="1"/>
  <c r="J86" i="3"/>
  <c r="L86" i="3" s="1"/>
  <c r="J137" i="3"/>
  <c r="L137" i="3" s="1"/>
  <c r="N44" i="3"/>
  <c r="S50" i="3"/>
  <c r="U50" i="3" s="1"/>
  <c r="Q67" i="3"/>
  <c r="O100" i="3"/>
  <c r="Q100" i="3" s="1"/>
  <c r="F178" i="3"/>
  <c r="H178" i="3" s="1"/>
  <c r="F210" i="3"/>
  <c r="H21" i="3"/>
  <c r="H210" i="3"/>
  <c r="J51" i="3"/>
  <c r="L51" i="3" s="1"/>
  <c r="C24" i="10"/>
  <c r="U67" i="3"/>
  <c r="O86" i="3"/>
  <c r="Q86" i="3" s="1"/>
  <c r="F132" i="3"/>
  <c r="H132" i="3" s="1"/>
  <c r="J178" i="3"/>
  <c r="L178" i="3" s="1"/>
  <c r="O210" i="3"/>
  <c r="C30" i="10"/>
  <c r="O112" i="3"/>
  <c r="F189" i="3"/>
  <c r="H189" i="3" s="1"/>
  <c r="S203" i="3"/>
  <c r="U203" i="3" s="1"/>
  <c r="C154" i="10"/>
  <c r="M51" i="3"/>
  <c r="S51" i="3" s="1"/>
  <c r="E193" i="3"/>
  <c r="D199" i="10" s="1"/>
  <c r="J218" i="3"/>
  <c r="L218" i="3" s="1"/>
  <c r="O21" i="3"/>
  <c r="Q21" i="3" s="1"/>
  <c r="J89" i="3"/>
  <c r="L89" i="3" s="1"/>
  <c r="I193" i="3"/>
  <c r="S218" i="3"/>
  <c r="U218" i="3" s="1"/>
  <c r="J15" i="3"/>
  <c r="L15" i="3" s="1"/>
  <c r="S132" i="3"/>
  <c r="U132" i="3" s="1"/>
  <c r="O181" i="3"/>
  <c r="Q181" i="3" s="1"/>
  <c r="U89" i="3"/>
  <c r="L155" i="3"/>
  <c r="C43" i="10"/>
  <c r="L163" i="3"/>
  <c r="Q50" i="3"/>
  <c r="L67" i="3"/>
  <c r="C221" i="10"/>
  <c r="F211" i="3"/>
  <c r="U51" i="3"/>
  <c r="D221" i="10"/>
  <c r="H211" i="3"/>
  <c r="J219" i="3"/>
  <c r="L219" i="3" s="1"/>
  <c r="C232" i="10"/>
  <c r="L21" i="3"/>
  <c r="H27" i="3"/>
  <c r="D24" i="10"/>
  <c r="R212" i="3"/>
  <c r="S204" i="3"/>
  <c r="U204" i="3" s="1"/>
  <c r="H127" i="3"/>
  <c r="D124" i="10"/>
  <c r="D231" i="10"/>
  <c r="O33" i="3"/>
  <c r="Q33" i="3" s="1"/>
  <c r="F38" i="3"/>
  <c r="H38" i="3" s="1"/>
  <c r="J83" i="3"/>
  <c r="L83" i="3" s="1"/>
  <c r="O121" i="3"/>
  <c r="Q121" i="3" s="1"/>
  <c r="O203" i="3"/>
  <c r="Q203" i="3" s="1"/>
  <c r="O218" i="3"/>
  <c r="R219" i="3"/>
  <c r="O15" i="3"/>
  <c r="S43" i="3"/>
  <c r="U43" i="3" s="1"/>
  <c r="J100" i="3"/>
  <c r="L100" i="3" s="1"/>
  <c r="S112" i="3"/>
  <c r="U112" i="3" s="1"/>
  <c r="J127" i="3"/>
  <c r="L127" i="3" s="1"/>
  <c r="S166" i="3"/>
  <c r="U166" i="3" s="1"/>
  <c r="S192" i="3"/>
  <c r="U192" i="3" s="1"/>
  <c r="S210" i="3"/>
  <c r="U210" i="3" s="1"/>
  <c r="Q218" i="3"/>
  <c r="C67" i="10"/>
  <c r="M22" i="3"/>
  <c r="S86" i="3"/>
  <c r="U86" i="3" s="1"/>
  <c r="D50" i="10"/>
  <c r="D113" i="3"/>
  <c r="C116" i="10" s="1"/>
  <c r="D6" i="10"/>
  <c r="D85" i="10"/>
  <c r="C159" i="10"/>
  <c r="E44" i="3"/>
  <c r="E45" i="3" s="1"/>
  <c r="I113" i="3"/>
  <c r="M193" i="3"/>
  <c r="S193" i="3" s="1"/>
  <c r="U193" i="3" s="1"/>
  <c r="E204" i="3"/>
  <c r="C6" i="10"/>
  <c r="J20" i="1"/>
  <c r="R22" i="3"/>
  <c r="I27" i="3"/>
  <c r="M113" i="3"/>
  <c r="S113" i="3" s="1"/>
  <c r="U113" i="3" s="1"/>
  <c r="E219" i="3"/>
  <c r="F219" i="3" s="1"/>
  <c r="I44" i="3"/>
  <c r="N113" i="3"/>
  <c r="I211" i="3"/>
  <c r="I212" i="3" s="1"/>
  <c r="S21" i="3"/>
  <c r="U21" i="3" s="1"/>
  <c r="O151" i="3"/>
  <c r="Q151" i="3" s="1"/>
  <c r="O204" i="3"/>
  <c r="Q204" i="3" s="1"/>
  <c r="F218" i="3"/>
  <c r="C185" i="10"/>
  <c r="F15" i="3"/>
  <c r="L26" i="3"/>
  <c r="N27" i="3"/>
  <c r="H33" i="3"/>
  <c r="S38" i="3"/>
  <c r="U38" i="3" s="1"/>
  <c r="J43" i="3"/>
  <c r="L43" i="3" s="1"/>
  <c r="M44" i="3"/>
  <c r="O89" i="3"/>
  <c r="J112" i="3"/>
  <c r="L112" i="3" s="1"/>
  <c r="J166" i="3"/>
  <c r="L166" i="3" s="1"/>
  <c r="S178" i="3"/>
  <c r="U178" i="3" s="1"/>
  <c r="J192" i="3"/>
  <c r="L192" i="3" s="1"/>
  <c r="J210" i="3"/>
  <c r="L210" i="3" s="1"/>
  <c r="M211" i="3"/>
  <c r="M212" i="3" s="1"/>
  <c r="F33" i="3"/>
  <c r="C103" i="10"/>
  <c r="D22" i="3"/>
  <c r="F67" i="3"/>
  <c r="H67" i="3" s="1"/>
  <c r="O79" i="3"/>
  <c r="Q79" i="3" s="1"/>
  <c r="O115" i="3"/>
  <c r="Q115" i="3" s="1"/>
  <c r="F155" i="3"/>
  <c r="H155" i="3" s="1"/>
  <c r="F181" i="3"/>
  <c r="H181" i="3" s="1"/>
  <c r="N211" i="3"/>
  <c r="Q211" i="3" s="1"/>
  <c r="C50" i="10"/>
  <c r="O26" i="3"/>
  <c r="Q26" i="3" s="1"/>
  <c r="F83" i="3"/>
  <c r="H83" i="3" s="1"/>
  <c r="F145" i="3"/>
  <c r="H145" i="3" s="1"/>
  <c r="C130" i="10"/>
  <c r="D208" i="2"/>
  <c r="J200" i="2"/>
  <c r="L200" i="2" s="1"/>
  <c r="F43" i="10"/>
  <c r="L32" i="1"/>
  <c r="L14" i="1" s="1"/>
  <c r="D179" i="6"/>
  <c r="I210" i="10"/>
  <c r="D54" i="4"/>
  <c r="E49" i="10"/>
  <c r="J53" i="4"/>
  <c r="L53" i="4" s="1"/>
  <c r="F53" i="4"/>
  <c r="H53" i="4" s="1"/>
  <c r="D204" i="3"/>
  <c r="J203" i="3"/>
  <c r="L203" i="3" s="1"/>
  <c r="C210" i="10"/>
  <c r="F203" i="3"/>
  <c r="H203" i="3" s="1"/>
  <c r="J115" i="3"/>
  <c r="L115" i="3" s="1"/>
  <c r="F115" i="3"/>
  <c r="H115" i="3" s="1"/>
  <c r="D193" i="3"/>
  <c r="C118" i="10"/>
  <c r="J114" i="2"/>
  <c r="L114" i="2" s="1"/>
  <c r="F114" i="2"/>
  <c r="I118" i="10"/>
  <c r="D168" i="6"/>
  <c r="D169" i="6" s="1"/>
  <c r="I200" i="10" s="1"/>
  <c r="I56" i="1"/>
  <c r="I57" i="1" s="1"/>
  <c r="C115" i="11"/>
  <c r="C96" i="11"/>
  <c r="C20" i="11"/>
  <c r="D69" i="11"/>
  <c r="D91" i="11"/>
  <c r="D112" i="11"/>
  <c r="E94" i="11"/>
  <c r="E114" i="11"/>
  <c r="C114" i="11"/>
  <c r="C94" i="11"/>
  <c r="D71" i="11"/>
  <c r="D93" i="11"/>
  <c r="D113" i="11"/>
  <c r="E20" i="11"/>
  <c r="E115" i="11"/>
  <c r="J32" i="1"/>
  <c r="C113" i="11"/>
  <c r="C93" i="11"/>
  <c r="C71" i="11"/>
  <c r="D94" i="11"/>
  <c r="D114" i="11"/>
  <c r="E21" i="11"/>
  <c r="E97" i="11"/>
  <c r="E117" i="11"/>
  <c r="K32" i="1"/>
  <c r="K14" i="1" s="1"/>
  <c r="J58" i="1"/>
  <c r="C111" i="11"/>
  <c r="C90" i="11"/>
  <c r="C67" i="11"/>
  <c r="D21" i="11"/>
  <c r="D75" i="11"/>
  <c r="D117" i="11"/>
  <c r="E41" i="11"/>
  <c r="E79" i="11"/>
  <c r="E101" i="11"/>
  <c r="J37" i="1"/>
  <c r="C110" i="11"/>
  <c r="C89" i="11"/>
  <c r="C66" i="11"/>
  <c r="C14" i="11"/>
  <c r="D22" i="11"/>
  <c r="D78" i="11"/>
  <c r="D99" i="11"/>
  <c r="E24" i="11"/>
  <c r="E42" i="11"/>
  <c r="E80" i="11"/>
  <c r="M32" i="1"/>
  <c r="M14" i="1" s="1"/>
  <c r="D113" i="4"/>
  <c r="C109" i="11"/>
  <c r="C87" i="11"/>
  <c r="D23" i="11"/>
  <c r="D41" i="11"/>
  <c r="D79" i="11"/>
  <c r="E25" i="11"/>
  <c r="E60" i="11"/>
  <c r="E81" i="11"/>
  <c r="E104" i="11"/>
  <c r="C107" i="11"/>
  <c r="C84" i="11"/>
  <c r="D60" i="11"/>
  <c r="D81" i="11"/>
  <c r="E46" i="11"/>
  <c r="E83" i="11"/>
  <c r="E106" i="11"/>
  <c r="D207" i="4"/>
  <c r="C106" i="11"/>
  <c r="C83" i="11"/>
  <c r="D61" i="11"/>
  <c r="D105" i="11"/>
  <c r="E84" i="11"/>
  <c r="E107" i="11"/>
  <c r="F198" i="3"/>
  <c r="J49" i="4"/>
  <c r="L49" i="4" s="1"/>
  <c r="F199" i="4"/>
  <c r="H199" i="4" s="1"/>
  <c r="C105" i="11"/>
  <c r="C82" i="11"/>
  <c r="C61" i="11"/>
  <c r="D83" i="11"/>
  <c r="D106" i="11"/>
  <c r="E29" i="11"/>
  <c r="E48" i="11"/>
  <c r="E86" i="11"/>
  <c r="E108" i="11"/>
  <c r="F199" i="2"/>
  <c r="C104" i="11"/>
  <c r="C81" i="11"/>
  <c r="C60" i="11"/>
  <c r="D84" i="11"/>
  <c r="D107" i="11"/>
  <c r="E87" i="11"/>
  <c r="E109" i="11"/>
  <c r="E211" i="10"/>
  <c r="C102" i="11"/>
  <c r="C80" i="11"/>
  <c r="C42" i="11"/>
  <c r="C24" i="11"/>
  <c r="D48" i="11"/>
  <c r="D86" i="11"/>
  <c r="D108" i="11"/>
  <c r="E14" i="11"/>
  <c r="E32" i="11"/>
  <c r="E66" i="11"/>
  <c r="E89" i="11"/>
  <c r="E110" i="11"/>
  <c r="C101" i="11"/>
  <c r="C79" i="11"/>
  <c r="C41" i="11"/>
  <c r="C23" i="11"/>
  <c r="D87" i="11"/>
  <c r="D109" i="11"/>
  <c r="E67" i="11"/>
  <c r="E111" i="11"/>
  <c r="J198" i="3"/>
  <c r="L198" i="3" s="1"/>
  <c r="C99" i="11"/>
  <c r="C78" i="11"/>
  <c r="C22" i="11"/>
  <c r="D14" i="11"/>
  <c r="D66" i="11"/>
  <c r="D89" i="11"/>
  <c r="E69" i="11"/>
  <c r="E91" i="11"/>
  <c r="K37" i="1"/>
  <c r="K12" i="1" s="1"/>
  <c r="C39" i="11"/>
  <c r="C5" i="11"/>
  <c r="C103" i="11"/>
  <c r="E7" i="11"/>
  <c r="D43" i="11"/>
  <c r="E74" i="11"/>
  <c r="E92" i="11"/>
  <c r="E43" i="11"/>
  <c r="C100" i="11"/>
  <c r="D31" i="11"/>
  <c r="C98" i="11"/>
  <c r="D98" i="11"/>
  <c r="C31" i="11"/>
  <c r="E31" i="11"/>
  <c r="D100" i="11"/>
  <c r="E98" i="11"/>
  <c r="D85" i="11"/>
  <c r="E100" i="11"/>
  <c r="D103" i="11"/>
  <c r="E85" i="11"/>
  <c r="D5" i="11"/>
  <c r="C7" i="11"/>
  <c r="G58" i="8"/>
  <c r="H81" i="8"/>
  <c r="F71" i="8"/>
  <c r="H63" i="8"/>
  <c r="H71" i="8" s="1"/>
  <c r="K51" i="1" s="1"/>
  <c r="H16" i="8"/>
  <c r="K46" i="1" s="1"/>
  <c r="F78" i="8"/>
  <c r="H74" i="8"/>
  <c r="H78" i="8" s="1"/>
  <c r="K49" i="1" s="1"/>
  <c r="H88" i="8"/>
  <c r="E102" i="11" s="1"/>
  <c r="F16" i="8"/>
  <c r="H37" i="8"/>
  <c r="E44" i="11" s="1"/>
  <c r="H76" i="8"/>
  <c r="E90" i="11" s="1"/>
  <c r="H85" i="8"/>
  <c r="E99" i="11" s="1"/>
  <c r="F89" i="8"/>
  <c r="H89" i="8" s="1"/>
  <c r="E103" i="11" s="1"/>
  <c r="H30" i="8"/>
  <c r="E35" i="11" s="1"/>
  <c r="H64" i="8"/>
  <c r="K52" i="1" s="1"/>
  <c r="H15" i="8"/>
  <c r="E10" i="11" s="1"/>
  <c r="H82" i="8"/>
  <c r="E96" i="11" s="1"/>
  <c r="F19" i="8"/>
  <c r="F74" i="7"/>
  <c r="I51" i="1" s="1"/>
  <c r="C58" i="1" s="1"/>
  <c r="H66" i="7"/>
  <c r="H74" i="7" s="1"/>
  <c r="F102" i="7"/>
  <c r="H84" i="7"/>
  <c r="H102" i="7" s="1"/>
  <c r="H19" i="7"/>
  <c r="H59" i="7" s="1"/>
  <c r="D68" i="11" s="1"/>
  <c r="F59" i="7"/>
  <c r="G104" i="7"/>
  <c r="I42" i="1"/>
  <c r="F77" i="7"/>
  <c r="C88" i="11" s="1"/>
  <c r="H71" i="7"/>
  <c r="D82" i="11" s="1"/>
  <c r="H68" i="7"/>
  <c r="J53" i="1" s="1"/>
  <c r="H86" i="7"/>
  <c r="D97" i="11" s="1"/>
  <c r="H93" i="7"/>
  <c r="D104" i="11" s="1"/>
  <c r="F16" i="7"/>
  <c r="C13" i="11" s="1"/>
  <c r="H90" i="7"/>
  <c r="D101" i="11" s="1"/>
  <c r="M37" i="1"/>
  <c r="M12" i="1" s="1"/>
  <c r="L37" i="1"/>
  <c r="L12" i="1" s="1"/>
  <c r="H85" i="17" l="1"/>
  <c r="F74" i="11"/>
  <c r="H92" i="17"/>
  <c r="F88" i="11"/>
  <c r="H115" i="17"/>
  <c r="F95" i="11"/>
  <c r="F13" i="11"/>
  <c r="L46" i="1"/>
  <c r="D16" i="11"/>
  <c r="D95" i="11"/>
  <c r="C43" i="11"/>
  <c r="L20" i="1"/>
  <c r="G50" i="10"/>
  <c r="N47" i="4"/>
  <c r="I207" i="4"/>
  <c r="F46" i="4"/>
  <c r="H46" i="4" s="1"/>
  <c r="O51" i="3"/>
  <c r="Q51" i="3" s="1"/>
  <c r="S186" i="2"/>
  <c r="U186" i="2" s="1"/>
  <c r="I44" i="2"/>
  <c r="J67" i="2"/>
  <c r="L67" i="2" s="1"/>
  <c r="M190" i="2"/>
  <c r="J208" i="2"/>
  <c r="L208" i="2" s="1"/>
  <c r="N112" i="2"/>
  <c r="M26" i="2"/>
  <c r="J145" i="2"/>
  <c r="L145" i="2" s="1"/>
  <c r="S42" i="2"/>
  <c r="U42" i="2" s="1"/>
  <c r="F50" i="2"/>
  <c r="H50" i="2" s="1"/>
  <c r="J42" i="2"/>
  <c r="L42" i="2" s="1"/>
  <c r="O25" i="2"/>
  <c r="Q25" i="2" s="1"/>
  <c r="O132" i="2"/>
  <c r="Q132" i="2" s="1"/>
  <c r="M112" i="2"/>
  <c r="O112" i="2" s="1"/>
  <c r="Q112" i="2" s="1"/>
  <c r="D190" i="2"/>
  <c r="S78" i="2"/>
  <c r="U78" i="2" s="1"/>
  <c r="E43" i="2"/>
  <c r="N190" i="2"/>
  <c r="M200" i="2"/>
  <c r="E200" i="2"/>
  <c r="F200" i="2" s="1"/>
  <c r="O19" i="2"/>
  <c r="Q19" i="2" s="1"/>
  <c r="E190" i="4"/>
  <c r="E192" i="4" s="1"/>
  <c r="F202" i="10" s="1"/>
  <c r="F116" i="10"/>
  <c r="I37" i="1"/>
  <c r="I12" i="1" s="1"/>
  <c r="O174" i="10"/>
  <c r="L48" i="1"/>
  <c r="F70" i="11"/>
  <c r="J14" i="1"/>
  <c r="N14" i="1" s="1"/>
  <c r="N32" i="1"/>
  <c r="I32" i="1"/>
  <c r="I14" i="1" s="1"/>
  <c r="L50" i="1"/>
  <c r="F116" i="11"/>
  <c r="N194" i="3"/>
  <c r="L47" i="1"/>
  <c r="F68" i="11"/>
  <c r="J12" i="1"/>
  <c r="N12" i="1" s="1"/>
  <c r="N37" i="1"/>
  <c r="G116" i="10"/>
  <c r="L21" i="1"/>
  <c r="L22" i="1"/>
  <c r="G199" i="10"/>
  <c r="I47" i="4"/>
  <c r="F190" i="2"/>
  <c r="H190" i="2" s="1"/>
  <c r="F48" i="16"/>
  <c r="I191" i="2"/>
  <c r="I193" i="2" s="1"/>
  <c r="I210" i="2" s="1"/>
  <c r="H117" i="17"/>
  <c r="F118" i="11" s="1"/>
  <c r="F117" i="17"/>
  <c r="I43" i="1"/>
  <c r="D47" i="4"/>
  <c r="L8" i="1"/>
  <c r="G44" i="10"/>
  <c r="R190" i="2"/>
  <c r="S190" i="2" s="1"/>
  <c r="U190" i="2" s="1"/>
  <c r="D112" i="2"/>
  <c r="I21" i="1" s="1"/>
  <c r="M43" i="2"/>
  <c r="J214" i="2"/>
  <c r="L214" i="2" s="1"/>
  <c r="E112" i="2"/>
  <c r="E191" i="2" s="1"/>
  <c r="N207" i="2"/>
  <c r="Q207" i="2" s="1"/>
  <c r="O177" i="2"/>
  <c r="Q177" i="2" s="1"/>
  <c r="O151" i="2"/>
  <c r="Q151" i="2" s="1"/>
  <c r="F214" i="2"/>
  <c r="H214" i="2" s="1"/>
  <c r="S114" i="2"/>
  <c r="U114" i="2" s="1"/>
  <c r="F151" i="2"/>
  <c r="H151" i="2" s="1"/>
  <c r="O166" i="2"/>
  <c r="Q166" i="2" s="1"/>
  <c r="J50" i="2"/>
  <c r="L50" i="2" s="1"/>
  <c r="D51" i="2"/>
  <c r="O67" i="2"/>
  <c r="Q67" i="2" s="1"/>
  <c r="S67" i="2"/>
  <c r="U67" i="2" s="1"/>
  <c r="O50" i="2"/>
  <c r="Q50" i="2" s="1"/>
  <c r="F19" i="2"/>
  <c r="H19" i="2" s="1"/>
  <c r="D20" i="2"/>
  <c r="D44" i="2" s="1"/>
  <c r="M44" i="2"/>
  <c r="S85" i="2"/>
  <c r="U85" i="2" s="1"/>
  <c r="S50" i="2"/>
  <c r="U50" i="2" s="1"/>
  <c r="O20" i="2"/>
  <c r="Q20" i="2" s="1"/>
  <c r="O199" i="2"/>
  <c r="J78" i="2"/>
  <c r="L78" i="2" s="1"/>
  <c r="N200" i="2"/>
  <c r="Q200" i="2" s="1"/>
  <c r="N191" i="2"/>
  <c r="N193" i="2" s="1"/>
  <c r="E44" i="2"/>
  <c r="F43" i="2"/>
  <c r="H43" i="2" s="1"/>
  <c r="I49" i="16"/>
  <c r="J49" i="16" s="1"/>
  <c r="F107" i="16"/>
  <c r="H107" i="16" s="1"/>
  <c r="J107" i="16"/>
  <c r="L107" i="16" s="1"/>
  <c r="S211" i="16"/>
  <c r="J30" i="16"/>
  <c r="L30" i="16" s="1"/>
  <c r="L48" i="16"/>
  <c r="Q30" i="16"/>
  <c r="N49" i="16"/>
  <c r="S48" i="16"/>
  <c r="U48" i="16" s="1"/>
  <c r="L210" i="16"/>
  <c r="H221" i="16"/>
  <c r="F221" i="16"/>
  <c r="S188" i="16"/>
  <c r="U188" i="16" s="1"/>
  <c r="O188" i="16"/>
  <c r="Q188" i="16" s="1"/>
  <c r="R189" i="16"/>
  <c r="J200" i="16"/>
  <c r="L200" i="16" s="1"/>
  <c r="F200" i="16"/>
  <c r="H200" i="16" s="1"/>
  <c r="D211" i="16"/>
  <c r="G222" i="10" s="1"/>
  <c r="O30" i="16"/>
  <c r="I189" i="16"/>
  <c r="H48" i="16"/>
  <c r="Q48" i="16"/>
  <c r="U221" i="16"/>
  <c r="S107" i="16"/>
  <c r="U107" i="16" s="1"/>
  <c r="O107" i="16"/>
  <c r="Q107" i="16" s="1"/>
  <c r="M189" i="16"/>
  <c r="I211" i="16"/>
  <c r="M49" i="16"/>
  <c r="S25" i="16"/>
  <c r="O25" i="16"/>
  <c r="Q25" i="16" s="1"/>
  <c r="E189" i="16"/>
  <c r="H200" i="10" s="1"/>
  <c r="M190" i="4"/>
  <c r="U211" i="16"/>
  <c r="J188" i="16"/>
  <c r="L188" i="16" s="1"/>
  <c r="F188" i="16"/>
  <c r="H188" i="16" s="1"/>
  <c r="D189" i="16"/>
  <c r="F55" i="16"/>
  <c r="H55" i="16" s="1"/>
  <c r="J55" i="16"/>
  <c r="L55" i="16" s="1"/>
  <c r="J210" i="16"/>
  <c r="N189" i="16"/>
  <c r="O55" i="16"/>
  <c r="Q55" i="16" s="1"/>
  <c r="E49" i="16"/>
  <c r="H44" i="10" s="1"/>
  <c r="J25" i="16"/>
  <c r="L25" i="16" s="1"/>
  <c r="R49" i="16"/>
  <c r="U25" i="16"/>
  <c r="J221" i="16"/>
  <c r="L221" i="16" s="1"/>
  <c r="S221" i="16"/>
  <c r="O221" i="16"/>
  <c r="Q210" i="16"/>
  <c r="N211" i="16"/>
  <c r="O211" i="16" s="1"/>
  <c r="O113" i="3"/>
  <c r="Q113" i="3" s="1"/>
  <c r="S46" i="4"/>
  <c r="U46" i="4" s="1"/>
  <c r="I194" i="3"/>
  <c r="O190" i="2"/>
  <c r="Q190" i="2" s="1"/>
  <c r="R190" i="4"/>
  <c r="R192" i="4" s="1"/>
  <c r="R209" i="4" s="1"/>
  <c r="E194" i="3"/>
  <c r="D200" i="10" s="1"/>
  <c r="N190" i="4"/>
  <c r="N192" i="4" s="1"/>
  <c r="N209" i="4" s="1"/>
  <c r="I190" i="4"/>
  <c r="I192" i="4" s="1"/>
  <c r="K21" i="1"/>
  <c r="O111" i="4"/>
  <c r="Q111" i="4" s="1"/>
  <c r="O193" i="3"/>
  <c r="Q193" i="3" s="1"/>
  <c r="D116" i="10"/>
  <c r="E75" i="11"/>
  <c r="F99" i="8"/>
  <c r="F101" i="8" s="1"/>
  <c r="E88" i="11"/>
  <c r="H99" i="8"/>
  <c r="K50" i="1" s="1"/>
  <c r="E95" i="11"/>
  <c r="E13" i="11"/>
  <c r="C85" i="11"/>
  <c r="J55" i="1"/>
  <c r="J41" i="1"/>
  <c r="N41" i="1" s="1"/>
  <c r="D74" i="11"/>
  <c r="H16" i="7"/>
  <c r="M20" i="1"/>
  <c r="I50" i="10"/>
  <c r="I44" i="10"/>
  <c r="M8" i="1"/>
  <c r="S22" i="4"/>
  <c r="U22" i="4" s="1"/>
  <c r="S189" i="4"/>
  <c r="U189" i="4" s="1"/>
  <c r="S111" i="4"/>
  <c r="U111" i="4" s="1"/>
  <c r="J27" i="4"/>
  <c r="H206" i="4"/>
  <c r="F221" i="10"/>
  <c r="O189" i="4"/>
  <c r="Q189" i="4" s="1"/>
  <c r="J111" i="4"/>
  <c r="L111" i="4" s="1"/>
  <c r="E207" i="4"/>
  <c r="F222" i="10" s="1"/>
  <c r="F206" i="4"/>
  <c r="O27" i="3"/>
  <c r="Q27" i="3" s="1"/>
  <c r="M194" i="3"/>
  <c r="S194" i="3" s="1"/>
  <c r="U194" i="3" s="1"/>
  <c r="S216" i="4"/>
  <c r="U216" i="4" s="1"/>
  <c r="O216" i="4"/>
  <c r="F111" i="4"/>
  <c r="H111" i="4" s="1"/>
  <c r="O46" i="4"/>
  <c r="Q46" i="4" s="1"/>
  <c r="L27" i="4"/>
  <c r="S206" i="4"/>
  <c r="U206" i="4" s="1"/>
  <c r="O206" i="4"/>
  <c r="O27" i="4"/>
  <c r="Q27" i="4" s="1"/>
  <c r="J22" i="4"/>
  <c r="F22" i="4"/>
  <c r="H22" i="4" s="1"/>
  <c r="K7" i="1"/>
  <c r="E18" i="10"/>
  <c r="L22" i="4"/>
  <c r="M207" i="4"/>
  <c r="S199" i="4"/>
  <c r="U199" i="4" s="1"/>
  <c r="O199" i="4"/>
  <c r="Q199" i="4" s="1"/>
  <c r="N207" i="4"/>
  <c r="R207" i="4"/>
  <c r="L206" i="4"/>
  <c r="S44" i="2"/>
  <c r="U44" i="2" s="1"/>
  <c r="O44" i="2"/>
  <c r="Q44" i="2" s="1"/>
  <c r="S200" i="2"/>
  <c r="U200" i="2" s="1"/>
  <c r="M208" i="2"/>
  <c r="J43" i="2"/>
  <c r="L43" i="2" s="1"/>
  <c r="S51" i="2"/>
  <c r="U51" i="2" s="1"/>
  <c r="E208" i="2"/>
  <c r="H200" i="2"/>
  <c r="J215" i="2"/>
  <c r="L215" i="2" s="1"/>
  <c r="F215" i="2"/>
  <c r="H215" i="2" s="1"/>
  <c r="O26" i="2"/>
  <c r="Q26" i="2" s="1"/>
  <c r="S26" i="2"/>
  <c r="U26" i="2" s="1"/>
  <c r="J211" i="3"/>
  <c r="L211" i="3" s="1"/>
  <c r="J193" i="3"/>
  <c r="L193" i="3" s="1"/>
  <c r="N45" i="3"/>
  <c r="N196" i="3" s="1"/>
  <c r="N214" i="3" s="1"/>
  <c r="F44" i="3"/>
  <c r="H44" i="3" s="1"/>
  <c r="S212" i="3"/>
  <c r="U212" i="3" s="1"/>
  <c r="D44" i="10"/>
  <c r="J21" i="1"/>
  <c r="S44" i="3"/>
  <c r="U44" i="3" s="1"/>
  <c r="O44" i="3"/>
  <c r="Q44" i="3" s="1"/>
  <c r="J27" i="3"/>
  <c r="L27" i="3" s="1"/>
  <c r="R45" i="3"/>
  <c r="F22" i="3"/>
  <c r="H22" i="3" s="1"/>
  <c r="J7" i="1"/>
  <c r="N7" i="1" s="1"/>
  <c r="C18" i="10"/>
  <c r="D45" i="3"/>
  <c r="J22" i="3"/>
  <c r="L22" i="3" s="1"/>
  <c r="M45" i="3"/>
  <c r="S22" i="3"/>
  <c r="U22" i="3" s="1"/>
  <c r="O22" i="3"/>
  <c r="Q22" i="3" s="1"/>
  <c r="D211" i="10"/>
  <c r="E212" i="3"/>
  <c r="D222" i="10" s="1"/>
  <c r="D194" i="3"/>
  <c r="S219" i="3"/>
  <c r="U219" i="3" s="1"/>
  <c r="S211" i="3"/>
  <c r="U211" i="3" s="1"/>
  <c r="O211" i="3"/>
  <c r="N212" i="3"/>
  <c r="O212" i="3" s="1"/>
  <c r="D43" i="10"/>
  <c r="H219" i="3"/>
  <c r="D232" i="10"/>
  <c r="F113" i="3"/>
  <c r="H113" i="3" s="1"/>
  <c r="J113" i="3"/>
  <c r="L113" i="3" s="1"/>
  <c r="J44" i="3"/>
  <c r="L44" i="3" s="1"/>
  <c r="I45" i="3"/>
  <c r="F200" i="10"/>
  <c r="K57" i="1"/>
  <c r="L43" i="1"/>
  <c r="D189" i="4"/>
  <c r="J113" i="4"/>
  <c r="L113" i="4" s="1"/>
  <c r="F113" i="4"/>
  <c r="H113" i="4" s="1"/>
  <c r="E118" i="10"/>
  <c r="J207" i="4"/>
  <c r="L207" i="4" s="1"/>
  <c r="E222" i="10"/>
  <c r="F193" i="3"/>
  <c r="H193" i="3" s="1"/>
  <c r="J22" i="1"/>
  <c r="C199" i="10"/>
  <c r="M23" i="1"/>
  <c r="D171" i="6"/>
  <c r="C52" i="1"/>
  <c r="E56" i="1"/>
  <c r="C53" i="1"/>
  <c r="M22" i="1"/>
  <c r="I199" i="10"/>
  <c r="F204" i="3"/>
  <c r="H204" i="3" s="1"/>
  <c r="D212" i="3"/>
  <c r="C211" i="10"/>
  <c r="J204" i="3"/>
  <c r="L204" i="3" s="1"/>
  <c r="J190" i="2"/>
  <c r="L190" i="2" s="1"/>
  <c r="I22" i="1"/>
  <c r="F54" i="4"/>
  <c r="H54" i="4" s="1"/>
  <c r="J54" i="4"/>
  <c r="L54" i="4" s="1"/>
  <c r="E50" i="10"/>
  <c r="K20" i="1"/>
  <c r="N20" i="1" s="1"/>
  <c r="D188" i="6"/>
  <c r="I222" i="10" s="1"/>
  <c r="I211" i="10"/>
  <c r="I47" i="1"/>
  <c r="C68" i="11"/>
  <c r="J50" i="1"/>
  <c r="D116" i="11"/>
  <c r="I50" i="1"/>
  <c r="C116" i="11"/>
  <c r="E52" i="1"/>
  <c r="E55" i="1"/>
  <c r="E58" i="1"/>
  <c r="E53" i="1"/>
  <c r="E54" i="1"/>
  <c r="F56" i="8"/>
  <c r="F58" i="8" s="1"/>
  <c r="H19" i="8"/>
  <c r="K43" i="1"/>
  <c r="H61" i="7"/>
  <c r="J47" i="1"/>
  <c r="J56" i="1"/>
  <c r="J42" i="1"/>
  <c r="N42" i="1" s="1"/>
  <c r="J51" i="1"/>
  <c r="F81" i="7"/>
  <c r="C92" i="11" s="1"/>
  <c r="H77" i="7"/>
  <c r="C55" i="1"/>
  <c r="C54" i="1"/>
  <c r="I46" i="1"/>
  <c r="F61" i="7"/>
  <c r="C56" i="1"/>
  <c r="O47" i="4"/>
  <c r="Q47" i="4" s="1"/>
  <c r="S47" i="4"/>
  <c r="U47" i="4" s="1"/>
  <c r="J47" i="4"/>
  <c r="L47" i="4" s="1"/>
  <c r="K8" i="1"/>
  <c r="F47" i="4"/>
  <c r="H47" i="4" s="1"/>
  <c r="E44" i="10"/>
  <c r="F92" i="11" l="1"/>
  <c r="L49" i="1"/>
  <c r="L51" i="1"/>
  <c r="F85" i="11"/>
  <c r="S190" i="4"/>
  <c r="U190" i="4" s="1"/>
  <c r="F207" i="4"/>
  <c r="H207" i="4" s="1"/>
  <c r="N208" i="2"/>
  <c r="Q208" i="2" s="1"/>
  <c r="S112" i="2"/>
  <c r="U112" i="2" s="1"/>
  <c r="M191" i="2"/>
  <c r="M193" i="2" s="1"/>
  <c r="N210" i="2"/>
  <c r="R191" i="2"/>
  <c r="R193" i="2" s="1"/>
  <c r="S193" i="2" s="1"/>
  <c r="U193" i="2" s="1"/>
  <c r="D191" i="2"/>
  <c r="N21" i="1"/>
  <c r="E196" i="3"/>
  <c r="D202" i="10" s="1"/>
  <c r="F112" i="2"/>
  <c r="H112" i="2" s="1"/>
  <c r="O190" i="4"/>
  <c r="Q190" i="4" s="1"/>
  <c r="M192" i="4"/>
  <c r="S192" i="4" s="1"/>
  <c r="U192" i="4" s="1"/>
  <c r="J112" i="2"/>
  <c r="L112" i="2" s="1"/>
  <c r="L23" i="1"/>
  <c r="G200" i="10"/>
  <c r="F49" i="16"/>
  <c r="D191" i="16"/>
  <c r="G202" i="10" s="1"/>
  <c r="I8" i="1"/>
  <c r="C8" i="1" s="1"/>
  <c r="J44" i="2"/>
  <c r="L44" i="2" s="1"/>
  <c r="F44" i="2"/>
  <c r="H44" i="2" s="1"/>
  <c r="F51" i="2"/>
  <c r="H51" i="2" s="1"/>
  <c r="O200" i="2"/>
  <c r="I20" i="1"/>
  <c r="J51" i="2"/>
  <c r="L51" i="2" s="1"/>
  <c r="S43" i="2"/>
  <c r="U43" i="2" s="1"/>
  <c r="O43" i="2"/>
  <c r="Q43" i="2" s="1"/>
  <c r="E193" i="2"/>
  <c r="E210" i="2" s="1"/>
  <c r="O207" i="2"/>
  <c r="F20" i="2"/>
  <c r="H20" i="2" s="1"/>
  <c r="J20" i="2"/>
  <c r="L20" i="2" s="1"/>
  <c r="I7" i="1"/>
  <c r="D193" i="2"/>
  <c r="J193" i="2" s="1"/>
  <c r="L193" i="2" s="1"/>
  <c r="M210" i="2"/>
  <c r="O210" i="2" s="1"/>
  <c r="Q210" i="2" s="1"/>
  <c r="N191" i="16"/>
  <c r="R191" i="16"/>
  <c r="E191" i="16"/>
  <c r="H202" i="10" s="1"/>
  <c r="H49" i="16"/>
  <c r="J211" i="16"/>
  <c r="L211" i="16" s="1"/>
  <c r="F211" i="16"/>
  <c r="H211" i="16" s="1"/>
  <c r="M191" i="16"/>
  <c r="O49" i="16"/>
  <c r="Q49" i="16" s="1"/>
  <c r="S49" i="16"/>
  <c r="U49" i="16" s="1"/>
  <c r="Q211" i="16"/>
  <c r="O189" i="16"/>
  <c r="Q189" i="16" s="1"/>
  <c r="S189" i="16"/>
  <c r="U189" i="16" s="1"/>
  <c r="F194" i="3"/>
  <c r="H194" i="3" s="1"/>
  <c r="J189" i="16"/>
  <c r="L189" i="16" s="1"/>
  <c r="F189" i="16"/>
  <c r="H189" i="16" s="1"/>
  <c r="I191" i="16"/>
  <c r="L49" i="16"/>
  <c r="G20" i="1"/>
  <c r="M196" i="3"/>
  <c r="M214" i="3" s="1"/>
  <c r="O214" i="3" s="1"/>
  <c r="Q214" i="3" s="1"/>
  <c r="J43" i="1"/>
  <c r="N43" i="1" s="1"/>
  <c r="O191" i="2"/>
  <c r="Q191" i="2" s="1"/>
  <c r="O194" i="3"/>
  <c r="Q194" i="3" s="1"/>
  <c r="C200" i="10"/>
  <c r="J23" i="1"/>
  <c r="D20" i="1" s="1"/>
  <c r="H101" i="8"/>
  <c r="E118" i="11" s="1"/>
  <c r="E116" i="11"/>
  <c r="O193" i="2"/>
  <c r="Q193" i="2" s="1"/>
  <c r="H56" i="8"/>
  <c r="H58" i="8" s="1"/>
  <c r="K48" i="1" s="1"/>
  <c r="E16" i="11"/>
  <c r="J46" i="1"/>
  <c r="D13" i="11"/>
  <c r="H81" i="7"/>
  <c r="D88" i="11"/>
  <c r="M15" i="1"/>
  <c r="G4" i="1"/>
  <c r="G3" i="1"/>
  <c r="G5" i="1"/>
  <c r="G6" i="1"/>
  <c r="G7" i="1"/>
  <c r="E209" i="4"/>
  <c r="F224" i="10" s="1"/>
  <c r="O207" i="4"/>
  <c r="Q207" i="4" s="1"/>
  <c r="S207" i="4"/>
  <c r="U207" i="4" s="1"/>
  <c r="S208" i="2"/>
  <c r="U208" i="2" s="1"/>
  <c r="O208" i="2"/>
  <c r="C6" i="1"/>
  <c r="I15" i="1"/>
  <c r="H208" i="2"/>
  <c r="F208" i="2"/>
  <c r="R196" i="3"/>
  <c r="R214" i="3" s="1"/>
  <c r="J194" i="3"/>
  <c r="L194" i="3" s="1"/>
  <c r="S45" i="3"/>
  <c r="U45" i="3" s="1"/>
  <c r="O45" i="3"/>
  <c r="Q45" i="3" s="1"/>
  <c r="J8" i="1"/>
  <c r="J45" i="3"/>
  <c r="L45" i="3" s="1"/>
  <c r="F45" i="3"/>
  <c r="H45" i="3" s="1"/>
  <c r="C44" i="10"/>
  <c r="E214" i="3"/>
  <c r="D224" i="10" s="1"/>
  <c r="I196" i="3"/>
  <c r="I214" i="3" s="1"/>
  <c r="Q212" i="3"/>
  <c r="D196" i="3"/>
  <c r="F196" i="3" s="1"/>
  <c r="H196" i="3" s="1"/>
  <c r="J191" i="2"/>
  <c r="L191" i="2" s="1"/>
  <c r="I23" i="1"/>
  <c r="C20" i="1" s="1"/>
  <c r="F191" i="2"/>
  <c r="H191" i="2" s="1"/>
  <c r="D190" i="6"/>
  <c r="I224" i="10" s="1"/>
  <c r="I202" i="10"/>
  <c r="G22" i="1"/>
  <c r="G21" i="1"/>
  <c r="E57" i="1"/>
  <c r="J212" i="3"/>
  <c r="L212" i="3" s="1"/>
  <c r="C222" i="10"/>
  <c r="F212" i="3"/>
  <c r="H212" i="3" s="1"/>
  <c r="J189" i="4"/>
  <c r="L189" i="4" s="1"/>
  <c r="K22" i="1"/>
  <c r="N22" i="1" s="1"/>
  <c r="E199" i="10"/>
  <c r="D190" i="4"/>
  <c r="F189" i="4"/>
  <c r="H189" i="4" s="1"/>
  <c r="I48" i="1"/>
  <c r="C70" i="11"/>
  <c r="J48" i="1"/>
  <c r="D70" i="11"/>
  <c r="I49" i="1"/>
  <c r="F104" i="7"/>
  <c r="C118" i="11" s="1"/>
  <c r="D55" i="1"/>
  <c r="D54" i="1"/>
  <c r="D52" i="1"/>
  <c r="D58" i="1"/>
  <c r="H104" i="7"/>
  <c r="D118" i="11" s="1"/>
  <c r="J57" i="1"/>
  <c r="D56" i="1"/>
  <c r="C57" i="1"/>
  <c r="D53" i="1"/>
  <c r="R210" i="2"/>
  <c r="I209" i="4"/>
  <c r="E7" i="1"/>
  <c r="E5" i="1"/>
  <c r="E6" i="1"/>
  <c r="K15" i="1"/>
  <c r="E3" i="1"/>
  <c r="E4" i="1"/>
  <c r="M209" i="4" l="1"/>
  <c r="O192" i="4"/>
  <c r="Q192" i="4" s="1"/>
  <c r="D22" i="1"/>
  <c r="D21" i="1"/>
  <c r="S191" i="2"/>
  <c r="U191" i="2" s="1"/>
  <c r="C5" i="1"/>
  <c r="S210" i="2"/>
  <c r="C4" i="1"/>
  <c r="D213" i="16"/>
  <c r="G224" i="10" s="1"/>
  <c r="C7" i="1"/>
  <c r="D214" i="3"/>
  <c r="C202" i="10"/>
  <c r="D7" i="1"/>
  <c r="N8" i="1"/>
  <c r="S214" i="3"/>
  <c r="U214" i="3" s="1"/>
  <c r="C3" i="1"/>
  <c r="F193" i="2"/>
  <c r="H193" i="2" s="1"/>
  <c r="D210" i="2"/>
  <c r="J210" i="2" s="1"/>
  <c r="L210" i="2" s="1"/>
  <c r="O191" i="16"/>
  <c r="Q191" i="16" s="1"/>
  <c r="M213" i="16"/>
  <c r="S191" i="16"/>
  <c r="U191" i="16" s="1"/>
  <c r="I213" i="16"/>
  <c r="E213" i="16"/>
  <c r="H224" i="10" s="1"/>
  <c r="K47" i="1"/>
  <c r="E68" i="11"/>
  <c r="F191" i="16"/>
  <c r="H191" i="16" s="1"/>
  <c r="J191" i="16"/>
  <c r="L191" i="16" s="1"/>
  <c r="R213" i="16"/>
  <c r="O196" i="3"/>
  <c r="Q196" i="3" s="1"/>
  <c r="N213" i="16"/>
  <c r="C22" i="1"/>
  <c r="C21" i="1"/>
  <c r="J49" i="1"/>
  <c r="D92" i="11"/>
  <c r="G13" i="1"/>
  <c r="G14" i="1"/>
  <c r="G12" i="1"/>
  <c r="S196" i="3"/>
  <c r="U196" i="3" s="1"/>
  <c r="C13" i="1"/>
  <c r="C12" i="1"/>
  <c r="C14" i="1"/>
  <c r="J196" i="3"/>
  <c r="L196" i="3" s="1"/>
  <c r="D6" i="1"/>
  <c r="D4" i="1"/>
  <c r="J15" i="1"/>
  <c r="D11" i="1"/>
  <c r="D10" i="1"/>
  <c r="D3" i="1"/>
  <c r="D5" i="1"/>
  <c r="D9" i="1"/>
  <c r="F190" i="4"/>
  <c r="H190" i="4" s="1"/>
  <c r="E200" i="10"/>
  <c r="K23" i="1"/>
  <c r="E22" i="1" s="1"/>
  <c r="D192" i="4"/>
  <c r="J190" i="4"/>
  <c r="L190" i="4" s="1"/>
  <c r="E70" i="11"/>
  <c r="D57" i="1"/>
  <c r="S209" i="4"/>
  <c r="U209" i="4" s="1"/>
  <c r="O209" i="4"/>
  <c r="Q209" i="4" s="1"/>
  <c r="C224" i="10"/>
  <c r="J214" i="3"/>
  <c r="L214" i="3" s="1"/>
  <c r="F214" i="3"/>
  <c r="H214" i="3" s="1"/>
  <c r="E13" i="1"/>
  <c r="E14" i="1"/>
  <c r="E12" i="1"/>
  <c r="U210" i="2"/>
  <c r="F213" i="16" l="1"/>
  <c r="J213" i="16"/>
  <c r="F210" i="2"/>
  <c r="H210" i="2" s="1"/>
  <c r="N23" i="1"/>
  <c r="H213" i="16"/>
  <c r="L213" i="16"/>
  <c r="S213" i="16"/>
  <c r="U213" i="16" s="1"/>
  <c r="O213" i="16"/>
  <c r="Q213" i="16" s="1"/>
  <c r="F58" i="1"/>
  <c r="F53" i="1"/>
  <c r="F54" i="1"/>
  <c r="F55" i="1"/>
  <c r="F52" i="1"/>
  <c r="F56" i="1"/>
  <c r="D13" i="1"/>
  <c r="D12" i="1"/>
  <c r="D14" i="1"/>
  <c r="L15" i="1"/>
  <c r="N15" i="1" s="1"/>
  <c r="F6" i="1"/>
  <c r="F3" i="1"/>
  <c r="F4" i="1"/>
  <c r="F7" i="1"/>
  <c r="F5" i="1"/>
  <c r="F21" i="1"/>
  <c r="F20" i="1"/>
  <c r="F22" i="1"/>
  <c r="J192" i="4"/>
  <c r="L192" i="4" s="1"/>
  <c r="D209" i="4"/>
  <c r="E202" i="10"/>
  <c r="F192" i="4"/>
  <c r="H192" i="4" s="1"/>
  <c r="E20" i="1"/>
  <c r="E21" i="1"/>
  <c r="F57" i="1" l="1"/>
  <c r="F13" i="1"/>
  <c r="F14" i="1"/>
  <c r="F12" i="1"/>
  <c r="J209" i="4"/>
  <c r="L209" i="4" s="1"/>
  <c r="F209" i="4"/>
  <c r="H209" i="4" s="1"/>
  <c r="E224" i="10"/>
</calcChain>
</file>

<file path=xl/sharedStrings.xml><?xml version="1.0" encoding="utf-8"?>
<sst xmlns="http://schemas.openxmlformats.org/spreadsheetml/2006/main" count="1990" uniqueCount="350">
  <si>
    <t>Prosent</t>
  </si>
  <si>
    <t>Kroner</t>
  </si>
  <si>
    <t>Søketekst</t>
  </si>
  <si>
    <t>Inntketskilde</t>
  </si>
  <si>
    <t>2024, budsjett</t>
  </si>
  <si>
    <t>Sum 21-23</t>
  </si>
  <si>
    <t>Tilskudd fra menighetene ink lmisjonsgave, presby.</t>
  </si>
  <si>
    <t>Offentlig tilskudd (skatterefusjon)</t>
  </si>
  <si>
    <t>Gaver</t>
  </si>
  <si>
    <t>Salgsinntekter</t>
  </si>
  <si>
    <t>SUM DRIFTSINNTEKTER</t>
  </si>
  <si>
    <t>Fellesarbeidets inntekter</t>
  </si>
  <si>
    <t>Menighetstilskudd inkl presbyteriene og misjonsgave</t>
  </si>
  <si>
    <t>Norad-midler</t>
  </si>
  <si>
    <t>SUM</t>
  </si>
  <si>
    <t>Kostnader</t>
  </si>
  <si>
    <t>Varekostnader</t>
  </si>
  <si>
    <t>Lønnskostnader</t>
  </si>
  <si>
    <t>Andre driftskostnader</t>
  </si>
  <si>
    <t>SUM DRIFTSUTGIFTER</t>
  </si>
  <si>
    <t>Mellomregninger</t>
  </si>
  <si>
    <t>Norad</t>
  </si>
  <si>
    <t>Tilskudd fra Norad 90%</t>
  </si>
  <si>
    <t>Norad, adm. godtgjørelse 7%</t>
  </si>
  <si>
    <t>Korreksjon Norad-tilskudd</t>
  </si>
  <si>
    <t>Sum</t>
  </si>
  <si>
    <t>Menighetstilskudd</t>
  </si>
  <si>
    <t>Tilskudd fra Frikirkens menigheter</t>
  </si>
  <si>
    <t>Tilskudd presbyteriene</t>
  </si>
  <si>
    <t>Misjonsgave</t>
  </si>
  <si>
    <t>Balanse</t>
  </si>
  <si>
    <t>Misjon</t>
  </si>
  <si>
    <t>Misjonsfondet - testamentariske gaver</t>
  </si>
  <si>
    <t>Egenkapital misjon - drift avd 1</t>
  </si>
  <si>
    <t>Sum misjon</t>
  </si>
  <si>
    <t>Sum anleggsmidler</t>
  </si>
  <si>
    <t>Anleggsmidler</t>
  </si>
  <si>
    <t>Sum omløpsmidler</t>
  </si>
  <si>
    <t>Omløpsmidler</t>
  </si>
  <si>
    <t>SUM EIENDELER</t>
  </si>
  <si>
    <t>Sum Eiendeler</t>
  </si>
  <si>
    <t>Sum avsetning for forpliktelser</t>
  </si>
  <si>
    <t>Sum avsetning og forpliktelser</t>
  </si>
  <si>
    <t>Sum kortsiktig gjeld</t>
  </si>
  <si>
    <t>Sum gjeld</t>
  </si>
  <si>
    <t>Sum egenkapital</t>
  </si>
  <si>
    <t>Egenkapital (sum)</t>
  </si>
  <si>
    <t>Egenkapital</t>
  </si>
  <si>
    <t>Sikringsfond</t>
  </si>
  <si>
    <t>Utviklingsfondet</t>
  </si>
  <si>
    <t>Egenkapital Presbyteriene - drift avd 15</t>
  </si>
  <si>
    <t>Sist oppdatert: 20.03.24</t>
  </si>
  <si>
    <t>Resultat</t>
  </si>
  <si>
    <t>Budsjett</t>
  </si>
  <si>
    <t>Abonnement på Magasin, MVA-fritt</t>
  </si>
  <si>
    <t>Litteratursalg, MVA- fritt</t>
  </si>
  <si>
    <t>Provisjonsinntekt</t>
  </si>
  <si>
    <t>Provisjonsinntekt bøker</t>
  </si>
  <si>
    <t>Påmelding, konferanseavgift, egenandeler., unntatt MVA- plikt</t>
  </si>
  <si>
    <t>Salgsinntekter tjenester  unntatt mva-plikt</t>
  </si>
  <si>
    <t>Stand på arrangement</t>
  </si>
  <si>
    <t>Salgsinntekter varer, unntatt MVA - plikt</t>
  </si>
  <si>
    <t>Sponsormidler/fond</t>
  </si>
  <si>
    <t>ikke i bruk</t>
  </si>
  <si>
    <t>Periodisert inntekt Checkin</t>
  </si>
  <si>
    <t>Tilskudd korona</t>
  </si>
  <si>
    <t>Testamentariske gaver</t>
  </si>
  <si>
    <t>Spesielle gaver/øremerkede gaver</t>
  </si>
  <si>
    <t>Faste givere</t>
  </si>
  <si>
    <t>Aksjoner, kollekter og andre gaver</t>
  </si>
  <si>
    <t>Gaveinntekter</t>
  </si>
  <si>
    <t>Tilskudd fra andre org.</t>
  </si>
  <si>
    <t>Andel off. tilskudd til fellesarbeidet</t>
  </si>
  <si>
    <t>Internfordeling av tilskudd og gaver</t>
  </si>
  <si>
    <t>Misjonsgaven</t>
  </si>
  <si>
    <t>Salgssum tomt</t>
  </si>
  <si>
    <t>Fra Fordelingsutvalget</t>
  </si>
  <si>
    <t>MVA-kompensasjonen</t>
  </si>
  <si>
    <t>Husleie misjonærer</t>
  </si>
  <si>
    <t>Annen driftsinntekt</t>
  </si>
  <si>
    <t>Andre driftsinntekter</t>
  </si>
  <si>
    <t>Varekostnader fritt</t>
  </si>
  <si>
    <t>Trykking pliktig, Magasin</t>
  </si>
  <si>
    <t>Fraktkostnader pliktig, Magasin</t>
  </si>
  <si>
    <t>Lønn til ansatte med AGA, 111-A, 113-A</t>
  </si>
  <si>
    <t>Lønn utestasjonerte med AGA, 113-A</t>
  </si>
  <si>
    <t>Lønn utestasjonerte uten AGA, 113</t>
  </si>
  <si>
    <t>Andre lønnskostnader</t>
  </si>
  <si>
    <t>Andre lønnsrefusjoner</t>
  </si>
  <si>
    <t>Justeringskonto lønn uten AGA- uten feriepenger</t>
  </si>
  <si>
    <t>Justeringskonto lønn med AGA- uten feriepenger</t>
  </si>
  <si>
    <t>Misjonærer på hjemmeopphold (belastes misjonsfelt)</t>
  </si>
  <si>
    <t>Feriepenger</t>
  </si>
  <si>
    <t>Pensjon pensjonister</t>
  </si>
  <si>
    <t>Honorarer ikke pliktig</t>
  </si>
  <si>
    <t>Honorar med AGA og skatt</t>
  </si>
  <si>
    <t>Honorar under 10.000 kr, med AGA og ikke skatt</t>
  </si>
  <si>
    <t>Honorar selvstendig næringsdrivende, kode 401</t>
  </si>
  <si>
    <t>Kompensasjon pensjon</t>
  </si>
  <si>
    <t>Lønn under sykdom uten AGA</t>
  </si>
  <si>
    <t>EK tjenester pliktig</t>
  </si>
  <si>
    <t>Avis pliktig</t>
  </si>
  <si>
    <t>Yrkesskadeforsikring pl</t>
  </si>
  <si>
    <t>Gruppelivsforikring pliktig</t>
  </si>
  <si>
    <t>Fritid- og ulykkesforsikring pliktig</t>
  </si>
  <si>
    <t>Uførekapital pliktig</t>
  </si>
  <si>
    <t>Reiseforsikring pliktig</t>
  </si>
  <si>
    <t>Andre fordeler pliktig</t>
  </si>
  <si>
    <t>Annen fordel i arbeidsforhold, uten AGA</t>
  </si>
  <si>
    <t>Materielltilskudd (bøker, dvd)</t>
  </si>
  <si>
    <t>Motkonto for naturalytelser</t>
  </si>
  <si>
    <t>Pensjonsforsikring innberetning</t>
  </si>
  <si>
    <t>Motkonto gruppe 54</t>
  </si>
  <si>
    <t>Personalforsikringer internfakturert</t>
  </si>
  <si>
    <t>Forsikring utestasjonerte</t>
  </si>
  <si>
    <t>Utbetalte Stipendier pliktig</t>
  </si>
  <si>
    <t>Arbeidsgiveravgift</t>
  </si>
  <si>
    <t>Arbeidsgiveravgift av feriepenger</t>
  </si>
  <si>
    <t>Refusjon av sykepenger</t>
  </si>
  <si>
    <t>Refusjon fra HELFO</t>
  </si>
  <si>
    <t>Forventet feriepenger av refusjon fra NA</t>
  </si>
  <si>
    <t>Annen kostnadsgodgjørelse</t>
  </si>
  <si>
    <t>Gaver til ansatte</t>
  </si>
  <si>
    <t>Pensjonsforsikring for ansatte uten aga</t>
  </si>
  <si>
    <t>Pensjonsforsikring ansatte, med AGA</t>
  </si>
  <si>
    <t>Veiledning og oppfølging</t>
  </si>
  <si>
    <t>Innleid arbeidskraft</t>
  </si>
  <si>
    <t>Andre personalkostnader</t>
  </si>
  <si>
    <t>Justeringskonto personalkostnader</t>
  </si>
  <si>
    <t>(ikke i bruk)  Refusjon personalkostnader, FriBU</t>
  </si>
  <si>
    <t>Personalforsikring, gruppeliv, fritid ulykke, uførekapital</t>
  </si>
  <si>
    <t>Personalfors, gruppeliv, fritid ulykke, uførekap - refusjon fra menigheter/FriBU</t>
  </si>
  <si>
    <t>Reiseforsikring</t>
  </si>
  <si>
    <t>Reiseforsikring, refusjon fra menighetene/FriBU</t>
  </si>
  <si>
    <t>Yrkesskadeforsikring, refusjon fra menighetene/FriBU</t>
  </si>
  <si>
    <t>Personalforsikring, uten AGA refusjon fra menighetene</t>
  </si>
  <si>
    <t>Personalforsikring, med AGA refusjon fra menighetene</t>
  </si>
  <si>
    <t>Avsatt pensjon og forsikring</t>
  </si>
  <si>
    <t>Pensjonsforsikring</t>
  </si>
  <si>
    <t>Pensjonsforsikring, refusjon fra menighetene</t>
  </si>
  <si>
    <t>Justeringskonto internfakturering pensjon og forsikringer</t>
  </si>
  <si>
    <t>Avskrivning på inventar</t>
  </si>
  <si>
    <t>Husleie</t>
  </si>
  <si>
    <t>Lys, varme</t>
  </si>
  <si>
    <t>Renhold</t>
  </si>
  <si>
    <t>Andre kostnader lokaler</t>
  </si>
  <si>
    <t>Leie av lokaler til arrangement</t>
  </si>
  <si>
    <t>Leie teknisk utstyr</t>
  </si>
  <si>
    <t>Leie inventar</t>
  </si>
  <si>
    <t>Leie datasystemer</t>
  </si>
  <si>
    <t>Leie datasystemer MVA- pliktig</t>
  </si>
  <si>
    <t>Leie andre kontormaskiner</t>
  </si>
  <si>
    <t>Inventar</t>
  </si>
  <si>
    <t>Lisenser arbeidsverktøy</t>
  </si>
  <si>
    <t>Datautstyr (hardware)</t>
  </si>
  <si>
    <t>Div utstyr og programvare</t>
  </si>
  <si>
    <t>Honorar revisjon</t>
  </si>
  <si>
    <t>Regnskapshonorar</t>
  </si>
  <si>
    <t>Annen fremmed tjeneste</t>
  </si>
  <si>
    <t>Andre honorarer</t>
  </si>
  <si>
    <t>Kontorrekvisita</t>
  </si>
  <si>
    <t>Trykksaker</t>
  </si>
  <si>
    <t>Aviser og tidsskrifter, bøker o l</t>
  </si>
  <si>
    <t>Abnm, Budbæreren</t>
  </si>
  <si>
    <t>Møte, kurs, oppdatering o l</t>
  </si>
  <si>
    <t>Undervisningsmateriell</t>
  </si>
  <si>
    <t>Annen kontorkostnad</t>
  </si>
  <si>
    <t>Telefon</t>
  </si>
  <si>
    <t>Telefon, MVA- plikt</t>
  </si>
  <si>
    <t>Bredbånd</t>
  </si>
  <si>
    <t>Internett/web</t>
  </si>
  <si>
    <t>Porto/frankering</t>
  </si>
  <si>
    <t>Driftskostnader misjonsfelt og prosjekt</t>
  </si>
  <si>
    <t>Overføringer Misjonsfelt partneravtaler</t>
  </si>
  <si>
    <t>Bistandsprosjekt</t>
  </si>
  <si>
    <t>Driftskostnader utsendinger</t>
  </si>
  <si>
    <t>Bilgodtgjørelse, ikke ansatte- tjenestereise</t>
  </si>
  <si>
    <t>Bilgodtgjørelse ansatte, oppgavepliktig</t>
  </si>
  <si>
    <t>Reisekostnad, ikke oppgavepliktig</t>
  </si>
  <si>
    <t>Reisekostnad utland</t>
  </si>
  <si>
    <t>Diettkostnader, oppgavepliktig</t>
  </si>
  <si>
    <t>Diettgodtgjørelse skattepliktig del</t>
  </si>
  <si>
    <t>Utstyrsbidrag ikke oppg.plikti</t>
  </si>
  <si>
    <t>Annonser/reklamekostnad</t>
  </si>
  <si>
    <t>Informasjonsmateriell</t>
  </si>
  <si>
    <t>Kontingenter til andre organisasjoner</t>
  </si>
  <si>
    <t>Gaver til andre organisasjoner</t>
  </si>
  <si>
    <t>Tilskudd til menigheter/ prosjekter</t>
  </si>
  <si>
    <t>Bevilgninger fra fordelingsutvalget bygg</t>
  </si>
  <si>
    <t>Bevilgninger fra Fordelingsutvalget prosjekt</t>
  </si>
  <si>
    <t>Bevilgninger fra Fordelingsutvalget tidligere år</t>
  </si>
  <si>
    <t>Modummidler</t>
  </si>
  <si>
    <t>Tilskudd kurs fra Synodestyret</t>
  </si>
  <si>
    <t>Andre tilskudd</t>
  </si>
  <si>
    <t>Andel tilskuddsmidler Stavern fhs</t>
  </si>
  <si>
    <t>Andel tilskuddsmidler FriBU</t>
  </si>
  <si>
    <t>Forsikringspremie</t>
  </si>
  <si>
    <t>Forsikring, ansvar</t>
  </si>
  <si>
    <t>Provisjonskostnad</t>
  </si>
  <si>
    <t>Interne møter, ansatte, styrer og råd</t>
  </si>
  <si>
    <t>Synodemøter (generalforsamling)</t>
  </si>
  <si>
    <t>Sentrale arrangement</t>
  </si>
  <si>
    <t>Bank og kortgebyrer</t>
  </si>
  <si>
    <t>Gebyr Checkin</t>
  </si>
  <si>
    <t>Andre kostnader</t>
  </si>
  <si>
    <t>Andre kostnader MVA</t>
  </si>
  <si>
    <t>Gaver, blomster etc.</t>
  </si>
  <si>
    <t>Tap på fordringer</t>
  </si>
  <si>
    <t>Avsetning tap på fordringer</t>
  </si>
  <si>
    <t>Driftsresultat</t>
  </si>
  <si>
    <t>Annen renteinntekt</t>
  </si>
  <si>
    <t>Agio - valutagevinst</t>
  </si>
  <si>
    <t>Aksjeutbytte</t>
  </si>
  <si>
    <t>Gevinst ved realisasjon av aksjer</t>
  </si>
  <si>
    <t>Verdiøkning finanseille omløpsmidler</t>
  </si>
  <si>
    <t>Overføring fond budsjett</t>
  </si>
  <si>
    <t>Finansinntekt</t>
  </si>
  <si>
    <t>Observasjonskonto lønn</t>
  </si>
  <si>
    <t>Verdireduksjon finansielle omløpsmidler</t>
  </si>
  <si>
    <t>Nedskriving finansielle anleggsmidler</t>
  </si>
  <si>
    <t>Rentekostnad foretak i samme konsern</t>
  </si>
  <si>
    <t>Annen rentekostnad</t>
  </si>
  <si>
    <t>Renter leverandører</t>
  </si>
  <si>
    <t>Disagio - valutatap</t>
  </si>
  <si>
    <t>Annen finanskostnad</t>
  </si>
  <si>
    <t>Finanskostnad</t>
  </si>
  <si>
    <t>RESULTAT FINANSPOSTER</t>
  </si>
  <si>
    <t>Resultat før overføringer og disp.</t>
  </si>
  <si>
    <t>Overført andre fond</t>
  </si>
  <si>
    <t>Overføring Sikringsfond</t>
  </si>
  <si>
    <t>Overføring Misjonsfondet</t>
  </si>
  <si>
    <t>Overføring nedleggelse menigheter</t>
  </si>
  <si>
    <t>Overføring annen egenkapital</t>
  </si>
  <si>
    <t>Overføringer og disponeringer</t>
  </si>
  <si>
    <t>Inngående (IB)</t>
  </si>
  <si>
    <t>Utgående balanse (UB)</t>
  </si>
  <si>
    <t>EIENDELER</t>
  </si>
  <si>
    <t>Lån Stavern Folkehøyskole</t>
  </si>
  <si>
    <t>Aksjer i KNIF Trygghet AS</t>
  </si>
  <si>
    <t>Aksjer i NLA</t>
  </si>
  <si>
    <t>Aksjer Kristiansand Folkehøyskole</t>
  </si>
  <si>
    <t>Nedskriving aksjer Kristiansand Folkehøyskole</t>
  </si>
  <si>
    <t>Kundefordringer fra VB</t>
  </si>
  <si>
    <t>Kundefordinrger fra Visma Global</t>
  </si>
  <si>
    <t>Kundefordringer MG Cornerstone</t>
  </si>
  <si>
    <t>Avsetning forventet refusjon fra NAV</t>
  </si>
  <si>
    <t>Avsetning forventet refusjon feriepenger fra NAV</t>
  </si>
  <si>
    <t>NAV refusjon sykepenger</t>
  </si>
  <si>
    <t>Viderefakturering</t>
  </si>
  <si>
    <t>Kundefordringer Checkin</t>
  </si>
  <si>
    <t>Forskudd på reise</t>
  </si>
  <si>
    <t>Forskudd på lønn</t>
  </si>
  <si>
    <t>Bankinnskudd Checkin</t>
  </si>
  <si>
    <t>Andre kortsiktige fordringer</t>
  </si>
  <si>
    <t>Interimskonto</t>
  </si>
  <si>
    <t>Forskuddsbetalte kostnader</t>
  </si>
  <si>
    <t>Forskuddsbetalt forsikring</t>
  </si>
  <si>
    <t>Andre forskuddsbetalte kostnader</t>
  </si>
  <si>
    <t>Tilskudd fra menigheter</t>
  </si>
  <si>
    <t>Mellomregning Stripe (cornerstone)</t>
  </si>
  <si>
    <t>Mellomregning Vipps (Cornerstone)</t>
  </si>
  <si>
    <t>Mellomregnskap</t>
  </si>
  <si>
    <t>Markedsbaserte obligasjoner (Danske Capital)</t>
  </si>
  <si>
    <t>Markedsbaserte obligasjoner (DNBl)</t>
  </si>
  <si>
    <t>Bank Jordan (tidligere Visumgaranti Jordan)</t>
  </si>
  <si>
    <t>Kontanter/kasse</t>
  </si>
  <si>
    <t>Kasse Tyrkia</t>
  </si>
  <si>
    <t>Kasse Jordan</t>
  </si>
  <si>
    <t>Kasse Jordan 2</t>
  </si>
  <si>
    <t>Driftskonto 8220.02.86045</t>
  </si>
  <si>
    <t>Driftskonto for tilskudd, 8220.02.86169</t>
  </si>
  <si>
    <t>Driftskonto Svensen 3000.21.38731</t>
  </si>
  <si>
    <t>Særvilkår 3000.28.48488</t>
  </si>
  <si>
    <t>Norad- konto 8220.02.86061</t>
  </si>
  <si>
    <t>Driftskonto Thingbø 8220.02.86053</t>
  </si>
  <si>
    <t>Driftskonto forsikringer 8220.02.86096</t>
  </si>
  <si>
    <t>Magasinet Veien 3000.21.43115</t>
  </si>
  <si>
    <t>Bedriftskonto 3000.26.12166</t>
  </si>
  <si>
    <t>Gavekonto (cornerstone) 3000.21.94976</t>
  </si>
  <si>
    <t>Fastrenteinnskudd 6 Mnd 2801.52.61066</t>
  </si>
  <si>
    <t>DNB 1506.89.53283</t>
  </si>
  <si>
    <t>Driftskonto Israel og DPO, 3000.17.49206</t>
  </si>
  <si>
    <t>Driftskonto Jordan - 3000.30.36665</t>
  </si>
  <si>
    <t>Driftskonto Bidås- 3000.31.28985</t>
  </si>
  <si>
    <t>Skattetrekkskonto 8220.02.20028</t>
  </si>
  <si>
    <t>DNB(Postbanken) 0537.06.06996</t>
  </si>
  <si>
    <t>Bankinnskudd Chekin direktebetalinger</t>
  </si>
  <si>
    <t>EGENKAPITAL OG GJELD</t>
  </si>
  <si>
    <t>Fond konfliktarbeid 901</t>
  </si>
  <si>
    <t>Fond Rekruttering 902</t>
  </si>
  <si>
    <t>Fond etter nedleggelse Tromsø Frikirke</t>
  </si>
  <si>
    <t>Udisponert resultat</t>
  </si>
  <si>
    <t>Avsetning for forpliktelser</t>
  </si>
  <si>
    <t>Pensjonsforpliktelse, pensjonskassa</t>
  </si>
  <si>
    <t>Avsetning pensjon menigheter</t>
  </si>
  <si>
    <t>Avsetning forsikring menigheter</t>
  </si>
  <si>
    <t>Kortsiktig gjeld</t>
  </si>
  <si>
    <t>Leverandørgjeld</t>
  </si>
  <si>
    <t>Lev. gj. innenf. konsern</t>
  </si>
  <si>
    <t>Forskuddstrekk</t>
  </si>
  <si>
    <t>Skyldig arbeidsgiveravgift</t>
  </si>
  <si>
    <t>Påløpt arbeidsgiveravgift</t>
  </si>
  <si>
    <t>Fordring prosjektland Norad-midler</t>
  </si>
  <si>
    <t>Konto Visakort Marit Ecklo Brevik 3000.41.62354</t>
  </si>
  <si>
    <t>Konto Visakort Hilde Heidenstrøm 3000.41.62362</t>
  </si>
  <si>
    <t>Gjeld kunde Checkin</t>
  </si>
  <si>
    <t>Andel off. tilskudd til menighetene</t>
  </si>
  <si>
    <t>Påløpt kostnad</t>
  </si>
  <si>
    <t>Forskuddsbetalt inntekt Checkin</t>
  </si>
  <si>
    <t>Uopptjent inntekt</t>
  </si>
  <si>
    <t>Avsatt Folketrygden utland</t>
  </si>
  <si>
    <t>Annen kortsiktig gjeld</t>
  </si>
  <si>
    <t>Mottatt ikke benyttet tilskudd</t>
  </si>
  <si>
    <t>SUM EGENKAPITAL OG GJELD</t>
  </si>
  <si>
    <t>Rapport generert</t>
  </si>
  <si>
    <t>101. Resultat denne periode og hittil i år, mot budsjett og fjorår</t>
  </si>
  <si>
    <t>DELF Hovedkontor</t>
  </si>
  <si>
    <t>Avdeling</t>
  </si>
  <si>
    <t>X Ikke i bruk R4</t>
  </si>
  <si>
    <t>Prosjekt</t>
  </si>
  <si>
    <t>X Ikke i bruk R5</t>
  </si>
  <si>
    <t>Ansvar</t>
  </si>
  <si>
    <t>Kampanje</t>
  </si>
  <si>
    <t>Denne perioden</t>
  </si>
  <si>
    <t>Hittil i år</t>
  </si>
  <si>
    <t>Regnskap</t>
  </si>
  <si>
    <t>Differanse</t>
  </si>
  <si>
    <t>Diff %</t>
  </si>
  <si>
    <t>I fjor</t>
  </si>
  <si>
    <t>diff %</t>
  </si>
  <si>
    <t>Annonsesalg, MVA høy sats</t>
  </si>
  <si>
    <t>Grafisk design pliktig, Magasin</t>
  </si>
  <si>
    <t>Yrkesskadeforsikring</t>
  </si>
  <si>
    <t>Pensjonsforsikring, refusjon fra FriBU</t>
  </si>
  <si>
    <t>Renovasjon, vann, avløp mv.</t>
  </si>
  <si>
    <t>Posten, hent og bring</t>
  </si>
  <si>
    <t>Bistandsprosjekt uten Dignistøtte</t>
  </si>
  <si>
    <t>150. Balanse</t>
  </si>
  <si>
    <t>Inngående balanse (IB)</t>
  </si>
  <si>
    <t>Bevegelse</t>
  </si>
  <si>
    <t>Inventar og utstyr</t>
  </si>
  <si>
    <t>Kundefordringer Checkin HK</t>
  </si>
  <si>
    <t>Kundefordringer Checkin - Nordre presbyterium</t>
  </si>
  <si>
    <t>Visumgaranti Jordan</t>
  </si>
  <si>
    <t>Lokal konto Jordan</t>
  </si>
  <si>
    <t>Fond rekruttering 901</t>
  </si>
  <si>
    <t>Fond Konfliktarbeid 902</t>
  </si>
  <si>
    <t>105. Resultat pr. avdeling hittil i år</t>
  </si>
  <si>
    <t>SUM INNTEKTER</t>
  </si>
  <si>
    <t>SUM KOSTNADER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</si>
</sst>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_(* #,##0.00_);_(* \(#,##0.00\);_(* &quot;-&quot;??_);_(@_)"/>
    <numFmt numFmtId="166" formatCode="_-#,##0_-;\-#,##0_-;_-* &quot;-&quot;??_-;_-@_-"/>
    <numFmt numFmtId="167" formatCode="0.0\ %"/>
    <numFmt numFmtId="168" formatCode="#,##0_ ;\-#,##0\ 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 tint="0.34998626667073579"/>
      <name val="Calibri"/>
      <family val="2"/>
      <scheme val="minor"/>
    </font>
    <font>
      <sz val="6"/>
      <color theme="1" tint="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4" tint="-0.2499465926084170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8"/>
      <color rgb="FF008080"/>
      <name val="Calibri"/>
      <family val="2"/>
      <scheme val="minor"/>
    </font>
    <font>
      <b/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12636E"/>
        <bgColor indexed="64"/>
      </patternFill>
    </fill>
    <fill>
      <patternFill patternType="solid">
        <fgColor rgb="FF618C30"/>
        <bgColor indexed="64"/>
      </patternFill>
    </fill>
    <fill>
      <patternFill patternType="solid">
        <fgColor theme="5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6">
    <xf numFmtId="0" fontId="0" fillId="0" borderId="0" xfId="0"/>
    <xf numFmtId="0" fontId="3" fillId="0" borderId="0" xfId="0" applyFont="1"/>
    <xf numFmtId="0" fontId="0" fillId="0" borderId="0" xfId="0" applyAlignment="1">
      <alignment horizontal="center"/>
    </xf>
    <xf numFmtId="10" fontId="0" fillId="0" borderId="0" xfId="0" applyNumberFormat="1"/>
    <xf numFmtId="164" fontId="0" fillId="0" borderId="0" xfId="1" applyNumberFormat="1" applyFont="1"/>
    <xf numFmtId="3" fontId="5" fillId="0" borderId="1" xfId="0" applyNumberFormat="1" applyFont="1" applyBorder="1"/>
    <xf numFmtId="0" fontId="6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22" fontId="6" fillId="0" borderId="0" xfId="0" applyNumberFormat="1" applyFont="1" applyAlignment="1">
      <alignment horizontal="right" vertical="top"/>
    </xf>
    <xf numFmtId="0" fontId="8" fillId="0" borderId="0" xfId="0" applyFont="1" applyAlignment="1">
      <alignment horizontal="left"/>
    </xf>
    <xf numFmtId="0" fontId="6" fillId="0" borderId="0" xfId="0" applyFont="1" applyAlignment="1">
      <alignment horizontal="right" vertical="top"/>
    </xf>
    <xf numFmtId="0" fontId="9" fillId="0" borderId="0" xfId="0" applyFont="1"/>
    <xf numFmtId="0" fontId="9" fillId="0" borderId="0" xfId="0" applyFont="1" applyAlignment="1">
      <alignment horizontal="left"/>
    </xf>
    <xf numFmtId="0" fontId="2" fillId="2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 wrapText="1"/>
    </xf>
    <xf numFmtId="0" fontId="2" fillId="2" borderId="7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10" fillId="0" borderId="0" xfId="0" applyFont="1" applyAlignment="1">
      <alignment horizontal="center" textRotation="135"/>
    </xf>
    <xf numFmtId="0" fontId="3" fillId="0" borderId="1" xfId="0" applyFont="1" applyBorder="1"/>
    <xf numFmtId="0" fontId="0" fillId="0" borderId="8" xfId="0" applyBorder="1"/>
    <xf numFmtId="0" fontId="0" fillId="0" borderId="2" xfId="0" applyBorder="1"/>
    <xf numFmtId="0" fontId="0" fillId="0" borderId="4" xfId="0" applyBorder="1"/>
    <xf numFmtId="0" fontId="0" fillId="0" borderId="1" xfId="0" applyBorder="1"/>
    <xf numFmtId="0" fontId="5" fillId="0" borderId="1" xfId="0" applyFont="1" applyBorder="1" applyAlignment="1">
      <alignment horizontal="center"/>
    </xf>
    <xf numFmtId="0" fontId="5" fillId="0" borderId="8" xfId="0" applyFont="1" applyBorder="1"/>
    <xf numFmtId="3" fontId="5" fillId="0" borderId="0" xfId="0" applyNumberFormat="1" applyFont="1"/>
    <xf numFmtId="3" fontId="5" fillId="0" borderId="9" xfId="0" applyNumberFormat="1" applyFont="1" applyBorder="1"/>
    <xf numFmtId="3" fontId="5" fillId="0" borderId="10" xfId="0" applyNumberFormat="1" applyFont="1" applyBorder="1"/>
    <xf numFmtId="3" fontId="11" fillId="0" borderId="0" xfId="0" applyNumberFormat="1" applyFont="1"/>
    <xf numFmtId="3" fontId="11" fillId="0" borderId="8" xfId="0" applyNumberFormat="1" applyFont="1" applyBorder="1"/>
    <xf numFmtId="0" fontId="11" fillId="0" borderId="1" xfId="0" applyFont="1" applyBorder="1" applyAlignment="1">
      <alignment horizontal="left"/>
    </xf>
    <xf numFmtId="0" fontId="11" fillId="0" borderId="8" xfId="0" applyFont="1" applyBorder="1"/>
    <xf numFmtId="3" fontId="11" fillId="0" borderId="1" xfId="0" applyNumberFormat="1" applyFont="1" applyBorder="1"/>
    <xf numFmtId="3" fontId="11" fillId="0" borderId="9" xfId="0" applyNumberFormat="1" applyFont="1" applyBorder="1"/>
    <xf numFmtId="3" fontId="11" fillId="0" borderId="10" xfId="0" applyNumberFormat="1" applyFont="1" applyBorder="1"/>
    <xf numFmtId="3" fontId="11" fillId="0" borderId="11" xfId="0" applyNumberFormat="1" applyFont="1" applyBorder="1"/>
    <xf numFmtId="0" fontId="12" fillId="0" borderId="1" xfId="0" applyFont="1" applyBorder="1"/>
    <xf numFmtId="0" fontId="12" fillId="0" borderId="8" xfId="0" applyFont="1" applyBorder="1"/>
    <xf numFmtId="3" fontId="12" fillId="0" borderId="1" xfId="0" applyNumberFormat="1" applyFont="1" applyBorder="1"/>
    <xf numFmtId="3" fontId="12" fillId="0" borderId="0" xfId="0" applyNumberFormat="1" applyFont="1"/>
    <xf numFmtId="3" fontId="12" fillId="0" borderId="9" xfId="0" applyNumberFormat="1" applyFont="1" applyBorder="1"/>
    <xf numFmtId="3" fontId="12" fillId="0" borderId="10" xfId="0" applyNumberFormat="1" applyFont="1" applyBorder="1"/>
    <xf numFmtId="3" fontId="12" fillId="0" borderId="8" xfId="0" applyNumberFormat="1" applyFont="1" applyBorder="1"/>
    <xf numFmtId="0" fontId="3" fillId="0" borderId="12" xfId="0" applyFont="1" applyBorder="1"/>
    <xf numFmtId="0" fontId="3" fillId="0" borderId="13" xfId="0" applyFont="1" applyBorder="1"/>
    <xf numFmtId="3" fontId="3" fillId="0" borderId="12" xfId="0" applyNumberFormat="1" applyFont="1" applyBorder="1"/>
    <xf numFmtId="3" fontId="3" fillId="0" borderId="13" xfId="0" applyNumberFormat="1" applyFont="1" applyBorder="1"/>
    <xf numFmtId="3" fontId="3" fillId="0" borderId="14" xfId="0" applyNumberFormat="1" applyFont="1" applyBorder="1"/>
    <xf numFmtId="3" fontId="3" fillId="0" borderId="15" xfId="0" applyNumberFormat="1" applyFont="1" applyBorder="1"/>
    <xf numFmtId="3" fontId="3" fillId="0" borderId="16" xfId="0" applyNumberFormat="1" applyFont="1" applyBorder="1"/>
    <xf numFmtId="0" fontId="0" fillId="0" borderId="9" xfId="0" applyBorder="1"/>
    <xf numFmtId="0" fontId="0" fillId="0" borderId="10" xfId="0" applyBorder="1"/>
    <xf numFmtId="0" fontId="3" fillId="0" borderId="1" xfId="0" applyFont="1" applyBorder="1" applyAlignment="1">
      <alignment horizontal="left"/>
    </xf>
    <xf numFmtId="3" fontId="0" fillId="0" borderId="1" xfId="0" applyNumberFormat="1" applyBorder="1"/>
    <xf numFmtId="3" fontId="13" fillId="0" borderId="0" xfId="0" applyNumberFormat="1" applyFont="1"/>
    <xf numFmtId="3" fontId="13" fillId="0" borderId="9" xfId="0" applyNumberFormat="1" applyFont="1" applyBorder="1"/>
    <xf numFmtId="3" fontId="0" fillId="0" borderId="10" xfId="0" applyNumberFormat="1" applyBorder="1"/>
    <xf numFmtId="3" fontId="14" fillId="0" borderId="1" xfId="0" applyNumberFormat="1" applyFont="1" applyBorder="1"/>
    <xf numFmtId="3" fontId="13" fillId="0" borderId="8" xfId="0" applyNumberFormat="1" applyFont="1" applyBorder="1"/>
    <xf numFmtId="0" fontId="15" fillId="2" borderId="1" xfId="0" applyFont="1" applyFill="1" applyBorder="1" applyAlignment="1">
      <alignment horizontal="left"/>
    </xf>
    <xf numFmtId="0" fontId="15" fillId="2" borderId="8" xfId="0" applyFont="1" applyFill="1" applyBorder="1"/>
    <xf numFmtId="3" fontId="15" fillId="2" borderId="1" xfId="0" applyNumberFormat="1" applyFont="1" applyFill="1" applyBorder="1"/>
    <xf numFmtId="3" fontId="15" fillId="2" borderId="0" xfId="0" applyNumberFormat="1" applyFont="1" applyFill="1"/>
    <xf numFmtId="3" fontId="15" fillId="2" borderId="9" xfId="0" applyNumberFormat="1" applyFont="1" applyFill="1" applyBorder="1"/>
    <xf numFmtId="3" fontId="15" fillId="2" borderId="10" xfId="0" applyNumberFormat="1" applyFont="1" applyFill="1" applyBorder="1"/>
    <xf numFmtId="3" fontId="15" fillId="2" borderId="8" xfId="0" applyNumberFormat="1" applyFont="1" applyFill="1" applyBorder="1"/>
    <xf numFmtId="3" fontId="15" fillId="3" borderId="8" xfId="0" applyNumberFormat="1" applyFont="1" applyFill="1" applyBorder="1"/>
    <xf numFmtId="0" fontId="13" fillId="0" borderId="0" xfId="0" applyFont="1"/>
    <xf numFmtId="0" fontId="13" fillId="0" borderId="9" xfId="0" applyFont="1" applyBorder="1"/>
    <xf numFmtId="0" fontId="13" fillId="0" borderId="8" xfId="0" applyFont="1" applyBorder="1"/>
    <xf numFmtId="3" fontId="5" fillId="0" borderId="8" xfId="0" applyNumberFormat="1" applyFont="1" applyBorder="1"/>
    <xf numFmtId="3" fontId="0" fillId="0" borderId="0" xfId="0" applyNumberFormat="1"/>
    <xf numFmtId="0" fontId="15" fillId="2" borderId="5" xfId="0" applyFont="1" applyFill="1" applyBorder="1" applyAlignment="1">
      <alignment horizontal="left"/>
    </xf>
    <xf numFmtId="0" fontId="15" fillId="2" borderId="6" xfId="0" applyFont="1" applyFill="1" applyBorder="1"/>
    <xf numFmtId="3" fontId="15" fillId="2" borderId="5" xfId="0" applyNumberFormat="1" applyFont="1" applyFill="1" applyBorder="1"/>
    <xf numFmtId="3" fontId="15" fillId="2" borderId="7" xfId="0" applyNumberFormat="1" applyFont="1" applyFill="1" applyBorder="1"/>
    <xf numFmtId="3" fontId="15" fillId="2" borderId="17" xfId="0" applyNumberFormat="1" applyFont="1" applyFill="1" applyBorder="1"/>
    <xf numFmtId="3" fontId="15" fillId="2" borderId="18" xfId="0" applyNumberFormat="1" applyFont="1" applyFill="1" applyBorder="1"/>
    <xf numFmtId="3" fontId="15" fillId="2" borderId="6" xfId="0" applyNumberFormat="1" applyFont="1" applyFill="1" applyBorder="1"/>
    <xf numFmtId="3" fontId="15" fillId="3" borderId="6" xfId="0" applyNumberFormat="1" applyFont="1" applyFill="1" applyBorder="1"/>
    <xf numFmtId="0" fontId="16" fillId="0" borderId="0" xfId="0" applyFont="1" applyAlignment="1">
      <alignment horizontal="left"/>
    </xf>
    <xf numFmtId="0" fontId="16" fillId="0" borderId="0" xfId="0" applyFont="1"/>
    <xf numFmtId="3" fontId="16" fillId="0" borderId="0" xfId="0" applyNumberFormat="1" applyFont="1"/>
    <xf numFmtId="3" fontId="16" fillId="0" borderId="9" xfId="0" applyNumberFormat="1" applyFont="1" applyBorder="1"/>
    <xf numFmtId="0" fontId="12" fillId="0" borderId="12" xfId="0" applyFont="1" applyBorder="1"/>
    <xf numFmtId="0" fontId="12" fillId="0" borderId="16" xfId="0" applyFont="1" applyBorder="1"/>
    <xf numFmtId="3" fontId="12" fillId="0" borderId="12" xfId="0" applyNumberFormat="1" applyFont="1" applyBorder="1"/>
    <xf numFmtId="3" fontId="12" fillId="0" borderId="13" xfId="0" applyNumberFormat="1" applyFont="1" applyBorder="1"/>
    <xf numFmtId="3" fontId="12" fillId="0" borderId="14" xfId="0" applyNumberFormat="1" applyFont="1" applyBorder="1"/>
    <xf numFmtId="3" fontId="12" fillId="0" borderId="15" xfId="0" applyNumberFormat="1" applyFont="1" applyBorder="1"/>
    <xf numFmtId="3" fontId="12" fillId="0" borderId="16" xfId="0" applyNumberFormat="1" applyFont="1" applyBorder="1"/>
    <xf numFmtId="0" fontId="17" fillId="0" borderId="0" xfId="0" applyFont="1" applyAlignment="1">
      <alignment horizontal="right"/>
    </xf>
    <xf numFmtId="0" fontId="0" fillId="0" borderId="0" xfId="0" quotePrefix="1"/>
    <xf numFmtId="164" fontId="0" fillId="0" borderId="0" xfId="0" applyNumberFormat="1"/>
    <xf numFmtId="0" fontId="0" fillId="4" borderId="0" xfId="0" applyFill="1"/>
    <xf numFmtId="0" fontId="11" fillId="0" borderId="1" xfId="0" applyFont="1" applyBorder="1"/>
    <xf numFmtId="0" fontId="8" fillId="0" borderId="0" xfId="0" applyFont="1"/>
    <xf numFmtId="0" fontId="18" fillId="0" borderId="0" xfId="0" applyFont="1"/>
    <xf numFmtId="0" fontId="2" fillId="2" borderId="12" xfId="0" applyFont="1" applyFill="1" applyBorder="1" applyAlignment="1">
      <alignment horizontal="left"/>
    </xf>
    <xf numFmtId="0" fontId="4" fillId="2" borderId="13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right" wrapText="1"/>
    </xf>
    <xf numFmtId="0" fontId="2" fillId="2" borderId="16" xfId="0" applyFont="1" applyFill="1" applyBorder="1" applyAlignment="1">
      <alignment horizontal="right" wrapText="1"/>
    </xf>
    <xf numFmtId="0" fontId="0" fillId="0" borderId="3" xfId="0" applyBorder="1"/>
    <xf numFmtId="3" fontId="3" fillId="0" borderId="0" xfId="0" applyNumberFormat="1" applyFont="1"/>
    <xf numFmtId="3" fontId="3" fillId="0" borderId="8" xfId="2" applyNumberFormat="1" applyFont="1" applyFill="1" applyBorder="1"/>
    <xf numFmtId="0" fontId="0" fillId="0" borderId="1" xfId="0" applyBorder="1" applyAlignment="1">
      <alignment horizontal="left"/>
    </xf>
    <xf numFmtId="3" fontId="0" fillId="0" borderId="8" xfId="2" applyNumberFormat="1" applyFont="1" applyFill="1" applyBorder="1"/>
    <xf numFmtId="0" fontId="19" fillId="0" borderId="1" xfId="0" applyFont="1" applyBorder="1" applyAlignment="1">
      <alignment horizontal="center"/>
    </xf>
    <xf numFmtId="0" fontId="19" fillId="0" borderId="0" xfId="0" applyFont="1"/>
    <xf numFmtId="3" fontId="19" fillId="0" borderId="0" xfId="2" applyNumberFormat="1" applyFont="1" applyFill="1" applyBorder="1"/>
    <xf numFmtId="3" fontId="19" fillId="0" borderId="8" xfId="2" applyNumberFormat="1" applyFont="1" applyFill="1" applyBorder="1"/>
    <xf numFmtId="3" fontId="3" fillId="0" borderId="16" xfId="2" applyNumberFormat="1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3" fontId="2" fillId="2" borderId="13" xfId="0" applyNumberFormat="1" applyFont="1" applyFill="1" applyBorder="1"/>
    <xf numFmtId="3" fontId="2" fillId="2" borderId="16" xfId="2" applyNumberFormat="1" applyFont="1" applyFill="1" applyBorder="1"/>
    <xf numFmtId="3" fontId="0" fillId="0" borderId="8" xfId="0" applyNumberFormat="1" applyBorder="1"/>
    <xf numFmtId="0" fontId="19" fillId="0" borderId="1" xfId="0" applyFont="1" applyBorder="1" applyAlignment="1">
      <alignment horizontal="left"/>
    </xf>
    <xf numFmtId="3" fontId="3" fillId="0" borderId="13" xfId="2" applyNumberFormat="1" applyFont="1" applyFill="1" applyBorder="1"/>
    <xf numFmtId="3" fontId="2" fillId="2" borderId="16" xfId="0" applyNumberFormat="1" applyFont="1" applyFill="1" applyBorder="1"/>
    <xf numFmtId="0" fontId="7" fillId="0" borderId="0" xfId="0" applyFont="1"/>
    <xf numFmtId="164" fontId="3" fillId="0" borderId="0" xfId="1" applyNumberFormat="1" applyFont="1"/>
    <xf numFmtId="9" fontId="0" fillId="0" borderId="0" xfId="3" applyFont="1"/>
    <xf numFmtId="164" fontId="20" fillId="0" borderId="0" xfId="1" applyNumberFormat="1" applyFont="1"/>
    <xf numFmtId="9" fontId="20" fillId="0" borderId="0" xfId="3" applyFont="1"/>
    <xf numFmtId="0" fontId="5" fillId="0" borderId="0" xfId="0" applyFont="1" applyAlignment="1">
      <alignment horizontal="center"/>
    </xf>
    <xf numFmtId="0" fontId="0" fillId="0" borderId="0" xfId="0" applyAlignment="1">
      <alignment horizontal="left"/>
    </xf>
    <xf numFmtId="0" fontId="5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5" fillId="0" borderId="8" xfId="0" applyFont="1" applyBorder="1" applyAlignment="1">
      <alignment horizontal="left"/>
    </xf>
    <xf numFmtId="0" fontId="11" fillId="0" borderId="8" xfId="0" applyFont="1" applyBorder="1" applyAlignment="1">
      <alignment horizontal="left"/>
    </xf>
    <xf numFmtId="0" fontId="12" fillId="0" borderId="8" xfId="0" applyFont="1" applyBorder="1" applyAlignment="1">
      <alignment horizontal="left"/>
    </xf>
    <xf numFmtId="0" fontId="3" fillId="0" borderId="13" xfId="0" applyFont="1" applyBorder="1" applyAlignment="1">
      <alignment horizontal="left"/>
    </xf>
    <xf numFmtId="0" fontId="0" fillId="0" borderId="8" xfId="0" applyBorder="1" applyAlignment="1">
      <alignment horizontal="left"/>
    </xf>
    <xf numFmtId="0" fontId="15" fillId="2" borderId="8" xfId="0" applyFont="1" applyFill="1" applyBorder="1" applyAlignment="1">
      <alignment horizontal="left"/>
    </xf>
    <xf numFmtId="0" fontId="15" fillId="2" borderId="6" xfId="0" applyFont="1" applyFill="1" applyBorder="1" applyAlignment="1">
      <alignment horizontal="left"/>
    </xf>
    <xf numFmtId="0" fontId="12" fillId="0" borderId="16" xfId="0" applyFont="1" applyBorder="1" applyAlignment="1">
      <alignment horizontal="left"/>
    </xf>
    <xf numFmtId="0" fontId="15" fillId="2" borderId="5" xfId="0" applyFont="1" applyFill="1" applyBorder="1" applyAlignment="1">
      <alignment horizontal="center" wrapText="1"/>
    </xf>
    <xf numFmtId="166" fontId="3" fillId="0" borderId="12" xfId="1" applyNumberFormat="1" applyFont="1" applyBorder="1" applyAlignment="1">
      <alignment horizontal="right"/>
    </xf>
    <xf numFmtId="166" fontId="5" fillId="0" borderId="1" xfId="1" applyNumberFormat="1" applyFont="1" applyBorder="1" applyAlignment="1">
      <alignment horizontal="right"/>
    </xf>
    <xf numFmtId="166" fontId="11" fillId="0" borderId="1" xfId="1" applyNumberFormat="1" applyFont="1" applyBorder="1" applyAlignment="1">
      <alignment horizontal="right"/>
    </xf>
    <xf numFmtId="166" fontId="12" fillId="0" borderId="1" xfId="1" applyNumberFormat="1" applyFont="1" applyBorder="1" applyAlignment="1">
      <alignment horizontal="right"/>
    </xf>
    <xf numFmtId="166" fontId="3" fillId="0" borderId="1" xfId="1" applyNumberFormat="1" applyFont="1" applyBorder="1" applyAlignment="1">
      <alignment horizontal="right"/>
    </xf>
    <xf numFmtId="166" fontId="15" fillId="2" borderId="5" xfId="1" applyNumberFormat="1" applyFont="1" applyFill="1" applyBorder="1" applyAlignment="1">
      <alignment horizontal="right"/>
    </xf>
    <xf numFmtId="166" fontId="0" fillId="0" borderId="1" xfId="1" applyNumberFormat="1" applyFont="1" applyBorder="1" applyAlignment="1">
      <alignment horizontal="right"/>
    </xf>
    <xf numFmtId="166" fontId="16" fillId="0" borderId="0" xfId="1" applyNumberFormat="1" applyFont="1" applyAlignment="1">
      <alignment horizontal="right"/>
    </xf>
    <xf numFmtId="166" fontId="12" fillId="0" borderId="12" xfId="1" applyNumberFormat="1" applyFont="1" applyBorder="1" applyAlignment="1">
      <alignment horizontal="right"/>
    </xf>
    <xf numFmtId="166" fontId="11" fillId="0" borderId="0" xfId="1" applyNumberFormat="1" applyFont="1" applyBorder="1" applyAlignment="1">
      <alignment horizontal="right"/>
    </xf>
    <xf numFmtId="0" fontId="2" fillId="2" borderId="13" xfId="0" applyFont="1" applyFill="1" applyBorder="1" applyAlignment="1">
      <alignment horizontal="center" vertical="top" wrapText="1"/>
    </xf>
    <xf numFmtId="166" fontId="12" fillId="0" borderId="13" xfId="1" applyNumberFormat="1" applyFont="1" applyBorder="1" applyAlignment="1">
      <alignment horizontal="right"/>
    </xf>
    <xf numFmtId="166" fontId="15" fillId="2" borderId="12" xfId="1" applyNumberFormat="1" applyFont="1" applyFill="1" applyBorder="1" applyAlignment="1">
      <alignment horizontal="right"/>
    </xf>
    <xf numFmtId="0" fontId="21" fillId="2" borderId="13" xfId="0" applyFont="1" applyFill="1" applyBorder="1" applyAlignment="1">
      <alignment horizontal="center" vertical="top" wrapText="1"/>
    </xf>
    <xf numFmtId="166" fontId="0" fillId="0" borderId="0" xfId="0" applyNumberFormat="1"/>
    <xf numFmtId="167" fontId="0" fillId="0" borderId="0" xfId="0" applyNumberFormat="1"/>
    <xf numFmtId="0" fontId="22" fillId="0" borderId="0" xfId="0" applyFont="1"/>
    <xf numFmtId="0" fontId="23" fillId="2" borderId="13" xfId="0" applyFont="1" applyFill="1" applyBorder="1" applyAlignment="1">
      <alignment horizontal="center" vertical="top" wrapText="1"/>
    </xf>
    <xf numFmtId="0" fontId="2" fillId="2" borderId="13" xfId="0" applyFont="1" applyFill="1" applyBorder="1" applyAlignment="1">
      <alignment horizontal="center" wrapText="1"/>
    </xf>
    <xf numFmtId="0" fontId="2" fillId="2" borderId="19" xfId="0" applyFont="1" applyFill="1" applyBorder="1" applyAlignment="1">
      <alignment horizontal="center"/>
    </xf>
    <xf numFmtId="168" fontId="0" fillId="0" borderId="0" xfId="1" applyNumberFormat="1" applyFont="1"/>
    <xf numFmtId="168" fontId="3" fillId="0" borderId="0" xfId="1" applyNumberFormat="1" applyFont="1"/>
    <xf numFmtId="0" fontId="2" fillId="2" borderId="16" xfId="0" applyFont="1" applyFill="1" applyBorder="1" applyAlignment="1">
      <alignment horizontal="center"/>
    </xf>
    <xf numFmtId="0" fontId="0" fillId="0" borderId="20" xfId="0" applyBorder="1"/>
    <xf numFmtId="3" fontId="5" fillId="0" borderId="20" xfId="0" applyNumberFormat="1" applyFont="1" applyBorder="1"/>
    <xf numFmtId="3" fontId="11" fillId="0" borderId="20" xfId="0" applyNumberFormat="1" applyFont="1" applyBorder="1"/>
    <xf numFmtId="3" fontId="12" fillId="0" borderId="20" xfId="0" applyNumberFormat="1" applyFont="1" applyBorder="1"/>
    <xf numFmtId="0" fontId="3" fillId="0" borderId="16" xfId="0" applyFont="1" applyBorder="1"/>
    <xf numFmtId="3" fontId="3" fillId="0" borderId="19" xfId="0" applyNumberFormat="1" applyFont="1" applyBorder="1"/>
    <xf numFmtId="3" fontId="14" fillId="0" borderId="20" xfId="0" applyNumberFormat="1" applyFont="1" applyBorder="1"/>
    <xf numFmtId="3" fontId="15" fillId="2" borderId="20" xfId="0" applyNumberFormat="1" applyFont="1" applyFill="1" applyBorder="1"/>
    <xf numFmtId="3" fontId="0" fillId="0" borderId="20" xfId="0" applyNumberFormat="1" applyBorder="1"/>
    <xf numFmtId="3" fontId="15" fillId="2" borderId="21" xfId="0" applyNumberFormat="1" applyFont="1" applyFill="1" applyBorder="1"/>
    <xf numFmtId="0" fontId="24" fillId="0" borderId="0" xfId="0" applyFont="1" applyAlignment="1">
      <alignment horizontal="left"/>
    </xf>
    <xf numFmtId="0" fontId="24" fillId="0" borderId="0" xfId="0" applyFont="1"/>
    <xf numFmtId="3" fontId="24" fillId="0" borderId="0" xfId="0" applyNumberFormat="1" applyFont="1"/>
    <xf numFmtId="3" fontId="12" fillId="0" borderId="19" xfId="0" applyNumberFormat="1" applyFont="1" applyBorder="1"/>
    <xf numFmtId="0" fontId="3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</cellXfs>
  <cellStyles count="4">
    <cellStyle name="Komma" xfId="1" builtinId="3"/>
    <cellStyle name="Komma 2" xfId="2" xr:uid="{5D3E3775-0B38-4181-8698-D47D4F7ABF05}"/>
    <cellStyle name="Normal" xfId="0" builtinId="0"/>
    <cellStyle name="Prosent" xfId="3" builtinId="5"/>
  </cellStyles>
  <dxfs count="1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Inntekter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285-4448-B73C-A1330C286F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285-4448-B73C-A1330C286F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285-4448-B73C-A1330C286F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285-4448-B73C-A1330C286F9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285-4448-B73C-A1330C286F91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Sammenstilling!$B$3:$B$7</c:f>
              <c:strCache>
                <c:ptCount val="5"/>
                <c:pt idx="0">
                  <c:v>Tilskudd fra menighetene ink lmisjonsgave, presby.</c:v>
                </c:pt>
                <c:pt idx="1">
                  <c:v>Offentlig tilskudd (skatterefusjon)</c:v>
                </c:pt>
                <c:pt idx="2">
                  <c:v>Gaver</c:v>
                </c:pt>
                <c:pt idx="3">
                  <c:v>    Annen driftsrelatert inntekt</c:v>
                </c:pt>
                <c:pt idx="4">
                  <c:v>Salgsinntekter</c:v>
                </c:pt>
              </c:strCache>
            </c:strRef>
          </c:cat>
          <c:val>
            <c:numRef>
              <c:f>Sammenstilling!$F$3:$F$7</c:f>
              <c:numCache>
                <c:formatCode>0.0\ %</c:formatCode>
                <c:ptCount val="5"/>
                <c:pt idx="0">
                  <c:v>0.44600571499720615</c:v>
                </c:pt>
                <c:pt idx="1">
                  <c:v>0.28462888129129338</c:v>
                </c:pt>
                <c:pt idx="2">
                  <c:v>0.1425683295380433</c:v>
                </c:pt>
                <c:pt idx="3">
                  <c:v>5.7809917024122998E-2</c:v>
                </c:pt>
                <c:pt idx="4">
                  <c:v>6.8987157149334372E-2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35-4317-BBF8-38DA2B9552C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87630</xdr:colOff>
      <xdr:row>2</xdr:row>
      <xdr:rowOff>64770</xdr:rowOff>
    </xdr:from>
    <xdr:to>
      <xdr:col>22</xdr:col>
      <xdr:colOff>392430</xdr:colOff>
      <xdr:row>17</xdr:row>
      <xdr:rowOff>64770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32D9702-EFD3-D41E-C3AD-135EC58D31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8"/>
  <sheetViews>
    <sheetView workbookViewId="0">
      <pane xSplit="2" ySplit="2" topLeftCell="C15" activePane="bottomRight" state="frozen"/>
      <selection pane="bottomRight" activeCell="L3" sqref="L3:L8"/>
      <selection pane="bottomLeft" activeCell="A3" sqref="A3"/>
      <selection pane="topRight" activeCell="B1" sqref="B1"/>
    </sheetView>
  </sheetViews>
  <sheetFormatPr defaultColWidth="8.85546875" defaultRowHeight="14.45"/>
  <cols>
    <col min="1" max="1" width="32" hidden="1" customWidth="1"/>
    <col min="2" max="2" width="43.7109375" customWidth="1"/>
    <col min="9" max="9" width="13.7109375" bestFit="1" customWidth="1"/>
    <col min="10" max="10" width="11.28515625" customWidth="1"/>
    <col min="11" max="12" width="11.28515625" bestFit="1" customWidth="1"/>
    <col min="13" max="13" width="12.42578125" bestFit="1" customWidth="1"/>
    <col min="14" max="14" width="12.28515625" bestFit="1" customWidth="1"/>
  </cols>
  <sheetData>
    <row r="1" spans="1:14">
      <c r="C1" s="182" t="s">
        <v>0</v>
      </c>
      <c r="D1" s="182"/>
      <c r="E1" s="182"/>
      <c r="F1" s="182"/>
      <c r="G1" s="182"/>
      <c r="I1" s="182" t="s">
        <v>1</v>
      </c>
      <c r="J1" s="182"/>
      <c r="K1" s="182"/>
      <c r="L1" s="182"/>
      <c r="M1" s="182"/>
    </row>
    <row r="2" spans="1:14">
      <c r="A2" t="s">
        <v>2</v>
      </c>
      <c r="B2" s="1" t="s">
        <v>3</v>
      </c>
      <c r="C2" s="1">
        <v>2020</v>
      </c>
      <c r="D2" s="1">
        <v>2021</v>
      </c>
      <c r="E2" s="1">
        <v>2022</v>
      </c>
      <c r="F2" s="1">
        <v>2023</v>
      </c>
      <c r="G2" s="1" t="s">
        <v>4</v>
      </c>
      <c r="I2" s="1">
        <v>2020</v>
      </c>
      <c r="J2" s="1">
        <v>2021</v>
      </c>
      <c r="K2" s="1">
        <v>2022</v>
      </c>
      <c r="L2" s="1">
        <v>2023</v>
      </c>
      <c r="M2" s="1" t="s">
        <v>4</v>
      </c>
      <c r="N2" t="s">
        <v>5</v>
      </c>
    </row>
    <row r="3" spans="1:14">
      <c r="A3" t="str">
        <f>"    "&amp;"Tilskudd frikirkens menigheter"</f>
        <v xml:space="preserve">    Tilskudd frikirkens menigheter</v>
      </c>
      <c r="B3" t="s">
        <v>6</v>
      </c>
      <c r="C3" s="3">
        <f ca="1">IFERROR(I3/I$8,"")</f>
        <v>0.55294082821278701</v>
      </c>
      <c r="D3" s="3">
        <f ca="1">IFERROR(J3/J$8,"")</f>
        <v>0.51317684591772994</v>
      </c>
      <c r="E3" s="3">
        <f ca="1">IFERROR(K3/K$8,"")</f>
        <v>0.50368265583513949</v>
      </c>
      <c r="F3" s="160">
        <f ca="1">IFERROR(L3/L$8,"")</f>
        <v>0.44600571499720615</v>
      </c>
      <c r="G3" s="3">
        <f ca="1">IFERROR(M3/M$8,"")</f>
        <v>0.49017559582738462</v>
      </c>
      <c r="I3" s="4">
        <v>22654352.210000001</v>
      </c>
      <c r="J3" s="4">
        <f ca="1">IFERROR(VLOOKUP($A3,Resultat2021!$B$11:$D$300,3,FALSE),"")</f>
        <v>22380666.300000001</v>
      </c>
      <c r="K3" s="4">
        <f ca="1">IFERROR(VLOOKUP($A3,Resultat2022!$B$11:$D$300,3,FALSE),"")</f>
        <v>22677391.93</v>
      </c>
      <c r="L3" s="4">
        <f ca="1">IFERROR(VLOOKUP($A3,Resultat2023!$B$11:$D$300,3,FALSE),"")</f>
        <v>22636272.18</v>
      </c>
      <c r="M3" s="4">
        <f ca="1">IFERROR(VLOOKUP($A3,Budsjett2024!$B$11:$D$300,3,FALSE),"")</f>
        <v>24694299</v>
      </c>
      <c r="N3" s="98">
        <f ca="1">SUM(J3:L3)</f>
        <v>67694330.409999996</v>
      </c>
    </row>
    <row r="4" spans="1:14">
      <c r="A4" t="str">
        <f>"    "&amp;"Offentlige tilskudd og refusjoner"</f>
        <v xml:space="preserve">    Offentlige tilskudd og refusjoner</v>
      </c>
      <c r="B4" t="s">
        <v>7</v>
      </c>
      <c r="C4" s="3">
        <f ca="1">IFERROR(I4/I$8,"")</f>
        <v>0.34361597750066963</v>
      </c>
      <c r="D4" s="3">
        <f t="shared" ref="D4:D11" ca="1" si="0">IFERROR(J4/J$8,"")</f>
        <v>0.37391546911126428</v>
      </c>
      <c r="E4" s="3">
        <f t="shared" ref="E4:G7" ca="1" si="1">IFERROR(K4/K$8,"")</f>
        <v>0.33427640307763595</v>
      </c>
      <c r="F4" s="160">
        <f t="shared" ca="1" si="1"/>
        <v>0.28462888129129338</v>
      </c>
      <c r="G4" s="3">
        <f t="shared" ca="1" si="1"/>
        <v>0.32850357221015525</v>
      </c>
      <c r="I4" s="4">
        <v>14078174.34</v>
      </c>
      <c r="J4" s="4">
        <f ca="1">IFERROR(VLOOKUP($A4,Resultat2021!$B$11:$D$300,3,FALSE),"")</f>
        <v>16307199.76</v>
      </c>
      <c r="K4" s="4">
        <f ca="1">IFERROR(VLOOKUP($A4,Resultat2022!$B$11:$D$300,3,FALSE),"")</f>
        <v>15050184.710000001</v>
      </c>
      <c r="L4" s="4">
        <f ca="1">IFERROR(VLOOKUP($A4,Resultat2023!$B$11:$D$300,3,FALSE),"")</f>
        <v>14445861.59</v>
      </c>
      <c r="M4" s="4">
        <f ca="1">IFERROR(VLOOKUP($A4,Budsjett2024!$B$11:$D$300,3,FALSE),"")</f>
        <v>16549509</v>
      </c>
      <c r="N4" s="98">
        <f t="shared" ref="N4:N43" ca="1" si="2">SUM(J4:L4)</f>
        <v>45803246.060000002</v>
      </c>
    </row>
    <row r="5" spans="1:14">
      <c r="A5" t="str">
        <f>"    "&amp;"Gaver"</f>
        <v xml:space="preserve">    Gaver</v>
      </c>
      <c r="B5" t="s">
        <v>8</v>
      </c>
      <c r="C5" s="3">
        <f ca="1">IFERROR(I5/I$8,"")</f>
        <v>5.7891121574870467E-2</v>
      </c>
      <c r="D5" s="3">
        <f t="shared" ca="1" si="0"/>
        <v>4.3795510103683405E-2</v>
      </c>
      <c r="E5" s="3">
        <f t="shared" ca="1" si="1"/>
        <v>6.7219246690984349E-2</v>
      </c>
      <c r="F5" s="160">
        <f t="shared" ca="1" si="1"/>
        <v>0.1425683295380433</v>
      </c>
      <c r="G5" s="3">
        <f t="shared" ca="1" si="1"/>
        <v>5.8457525758768995E-2</v>
      </c>
      <c r="I5" s="4">
        <v>2371837.62</v>
      </c>
      <c r="J5" s="4">
        <f ca="1">IFERROR(VLOOKUP($A5,Resultat2021!$B$11:$D$300,3,FALSE),"")</f>
        <v>1910009.59</v>
      </c>
      <c r="K5" s="4">
        <f ca="1">IFERROR(VLOOKUP($A5,Resultat2022!$B$11:$D$300,3,FALSE),"")</f>
        <v>3026423.85</v>
      </c>
      <c r="L5" s="4">
        <f ca="1">IFERROR(VLOOKUP($A5,Resultat2023!$B$11:$D$300,3,FALSE),"")</f>
        <v>7235816.5</v>
      </c>
      <c r="M5" s="4">
        <f ca="1">IFERROR(VLOOKUP($A5,Budsjett2024!$B$11:$D$300,3,FALSE),"")</f>
        <v>2945001</v>
      </c>
      <c r="N5" s="98">
        <f t="shared" ca="1" si="2"/>
        <v>12172249.940000001</v>
      </c>
    </row>
    <row r="6" spans="1:14">
      <c r="A6" t="str">
        <f>"    "&amp;"Annen driftsrelatert inntekt"</f>
        <v xml:space="preserve">    Annen driftsrelatert inntekt</v>
      </c>
      <c r="B6" s="35" t="str">
        <f>"    "&amp;"Annen driftsrelatert inntekt"</f>
        <v xml:space="preserve">    Annen driftsrelatert inntekt</v>
      </c>
      <c r="C6" s="3">
        <f ca="1">IFERROR(I6/I$8,"")</f>
        <v>4.4149495938420359E-2</v>
      </c>
      <c r="D6" s="3">
        <f t="shared" ca="1" si="0"/>
        <v>5.1680370357811221E-2</v>
      </c>
      <c r="E6" s="3">
        <f t="shared" ca="1" si="1"/>
        <v>4.3679956980554199E-2</v>
      </c>
      <c r="F6" s="160">
        <f t="shared" ca="1" si="1"/>
        <v>5.7809917024122998E-2</v>
      </c>
      <c r="G6" s="3">
        <f t="shared" ca="1" si="1"/>
        <v>4.0186865521435494E-2</v>
      </c>
      <c r="I6" s="4">
        <v>1808834.1099999999</v>
      </c>
      <c r="J6" s="4">
        <f ca="1">IFERROR(VLOOKUP($A6,Resultat2021!$B$11:$D$300,3,FALSE),"")</f>
        <v>2253884.08</v>
      </c>
      <c r="K6" s="4">
        <f ca="1">IFERROR(VLOOKUP($A6,Resultat2022!$B$11:$D$300,3,FALSE),"")</f>
        <v>1966610.31</v>
      </c>
      <c r="L6" s="4">
        <f ca="1">IFERROR(VLOOKUP($A6,Resultat2023!$B$11:$D$300,3,FALSE),"")</f>
        <v>2934045.4000000004</v>
      </c>
      <c r="M6" s="4">
        <f ca="1">IFERROR(VLOOKUP($A6,Budsjett2024!$B$11:$D$300,3,FALSE),"")</f>
        <v>2024553</v>
      </c>
      <c r="N6" s="98">
        <f t="shared" ca="1" si="2"/>
        <v>7154539.790000001</v>
      </c>
    </row>
    <row r="7" spans="1:14">
      <c r="A7" t="s">
        <v>9</v>
      </c>
      <c r="B7" t="s">
        <v>9</v>
      </c>
      <c r="C7" s="3">
        <f ca="1">IFERROR(I7/I$8,"")</f>
        <v>1.402576773252776E-3</v>
      </c>
      <c r="D7" s="3">
        <f t="shared" ca="1" si="0"/>
        <v>1.7431804509511196E-2</v>
      </c>
      <c r="E7" s="3">
        <f t="shared" ca="1" si="1"/>
        <v>5.0808575654366646E-2</v>
      </c>
      <c r="F7" s="160">
        <f t="shared" ca="1" si="1"/>
        <v>6.8987157149334372E-2</v>
      </c>
      <c r="G7" s="3">
        <f ca="1">IFERROR(M7/M$8,"")</f>
        <v>8.2676440682255672E-2</v>
      </c>
      <c r="I7" s="4">
        <f ca="1">VLOOKUP($B7,Resultat2020!$B$11:$D$300,3,FALSE)</f>
        <v>57464.5</v>
      </c>
      <c r="J7" s="4">
        <f ca="1">IFERROR(VLOOKUP($A7,Resultat2021!$B$11:$D$300,3,FALSE),"")</f>
        <v>760235.78</v>
      </c>
      <c r="K7" s="4">
        <f ca="1">IFERROR(VLOOKUP($A7,Resultat2022!$B$11:$D$300,3,FALSE),"")</f>
        <v>2287563.35</v>
      </c>
      <c r="L7" s="4">
        <f ca="1">IFERROR(VLOOKUP($A7,Resultat2023!$B$11:$D$300,3,FALSE),"")</f>
        <v>3501327.4799999995</v>
      </c>
      <c r="M7" s="4">
        <f ca="1">IFERROR(VLOOKUP($A7,Budsjett2024!$B$11:$D$300,3,FALSE),"")</f>
        <v>4165113</v>
      </c>
      <c r="N7" s="98">
        <f t="shared" ca="1" si="2"/>
        <v>6549126.6099999994</v>
      </c>
    </row>
    <row r="8" spans="1:14">
      <c r="A8" t="s">
        <v>10</v>
      </c>
      <c r="B8" t="s">
        <v>10</v>
      </c>
      <c r="C8" s="3">
        <f ca="1">IFERROR(I8/I$8,"")</f>
        <v>1</v>
      </c>
      <c r="D8" s="3"/>
      <c r="I8" s="4">
        <f ca="1">VLOOKUP($B8,Resultat2020!$B$11:$D$300,3,FALSE)</f>
        <v>40970662.779999994</v>
      </c>
      <c r="J8" s="4">
        <f ca="1">IFERROR(VLOOKUP($A8,Resultat2021!$B$11:$D$300,3,FALSE),"")</f>
        <v>43611995.509999998</v>
      </c>
      <c r="K8" s="4">
        <f ca="1">IFERROR(VLOOKUP($A8,Resultat2022!$B$11:$D$300,3,FALSE),"")</f>
        <v>45023174.150000006</v>
      </c>
      <c r="L8" s="4">
        <f ca="1">IFERROR(VLOOKUP($A8,Resultat2023!$B$11:$D$300,3,FALSE),"")</f>
        <v>50753323.149999991</v>
      </c>
      <c r="M8" s="4">
        <f ca="1">IFERROR(VLOOKUP($A8,Budsjett2024!$B$11:$D$300,3,FALSE),"")</f>
        <v>50378475</v>
      </c>
      <c r="N8" s="98">
        <f t="shared" ca="1" si="2"/>
        <v>139388492.81</v>
      </c>
    </row>
    <row r="9" spans="1:14">
      <c r="C9" s="3"/>
      <c r="D9" s="3" t="str">
        <f t="shared" ca="1" si="0"/>
        <v/>
      </c>
      <c r="J9" s="4" t="str">
        <f ca="1">IFERROR(VLOOKUP($B9,Resultat2021!$B$11:$D$300,3,FALSE),"")</f>
        <v/>
      </c>
      <c r="K9" s="4" t="str">
        <f ca="1">IFERROR(VLOOKUP($B9,Resultat2022!$B$11:$D$300,3,FALSE),"")</f>
        <v/>
      </c>
      <c r="L9" s="4" t="str">
        <f ca="1">IFERROR(VLOOKUP($B9,Resultat2023!$B$11:$D$300,3,FALSE),"")</f>
        <v/>
      </c>
      <c r="M9" s="4" t="str">
        <f ca="1">IFERROR(VLOOKUP($B9,Budsjett2024!$B$11:$D$300,3,FALSE),"")</f>
        <v/>
      </c>
      <c r="N9" s="98">
        <f t="shared" ca="1" si="2"/>
        <v>0</v>
      </c>
    </row>
    <row r="10" spans="1:14">
      <c r="C10" s="3"/>
      <c r="D10" s="3" t="str">
        <f t="shared" ca="1" si="0"/>
        <v/>
      </c>
      <c r="J10" s="4" t="str">
        <f ca="1">IFERROR(VLOOKUP($B10,Resultat2021!$B$11:$D$300,3,FALSE),"")</f>
        <v/>
      </c>
      <c r="K10" s="4" t="str">
        <f ca="1">IFERROR(VLOOKUP($B10,Resultat2022!$B$11:$D$300,3,FALSE),"")</f>
        <v/>
      </c>
      <c r="L10" s="4" t="str">
        <f ca="1">IFERROR(VLOOKUP($B10,Resultat2023!$B$11:$D$300,3,FALSE),"")</f>
        <v/>
      </c>
      <c r="M10" s="4" t="str">
        <f ca="1">IFERROR(VLOOKUP($B10,Budsjett2024!$B$11:$D$300,3,FALSE),"")</f>
        <v/>
      </c>
      <c r="N10" s="98">
        <f t="shared" ca="1" si="2"/>
        <v>0</v>
      </c>
    </row>
    <row r="11" spans="1:14">
      <c r="B11" t="s">
        <v>11</v>
      </c>
      <c r="C11" s="3"/>
      <c r="D11" s="3" t="str">
        <f t="shared" ca="1" si="0"/>
        <v/>
      </c>
      <c r="J11" s="4" t="str">
        <f ca="1">IFERROR(VLOOKUP($B11,Resultat2021!$B$11:$D$300,3,FALSE),"")</f>
        <v/>
      </c>
      <c r="K11" s="4" t="str">
        <f ca="1">IFERROR(VLOOKUP($B11,Resultat2022!$B$11:$D$300,3,FALSE),"")</f>
        <v/>
      </c>
      <c r="L11" s="4" t="str">
        <f ca="1">IFERROR(VLOOKUP($B11,Resultat2023!$B$11:$D$300,3,FALSE),"")</f>
        <v/>
      </c>
      <c r="M11" s="4" t="str">
        <f ca="1">IFERROR(VLOOKUP($B11,Budsjett2024!$B$11:$D$300,3,FALSE),"")</f>
        <v/>
      </c>
      <c r="N11" s="98">
        <f t="shared" ca="1" si="2"/>
        <v>0</v>
      </c>
    </row>
    <row r="12" spans="1:14">
      <c r="A12" s="99"/>
      <c r="B12" t="s">
        <v>12</v>
      </c>
      <c r="C12" s="3">
        <f t="shared" ref="C12:G14" ca="1" si="3">IFERROR(I12/I$15,"")</f>
        <v>0.55294082821278701</v>
      </c>
      <c r="D12" s="3">
        <f t="shared" ca="1" si="3"/>
        <v>0.51317684591772994</v>
      </c>
      <c r="E12" s="3">
        <f t="shared" ca="1" si="3"/>
        <v>0.50368265583513949</v>
      </c>
      <c r="F12" s="3">
        <f t="shared" ca="1" si="3"/>
        <v>0.44600571499720615</v>
      </c>
      <c r="G12" s="3">
        <f t="shared" ca="1" si="3"/>
        <v>0.48818468601917786</v>
      </c>
      <c r="I12" s="4">
        <f ca="1">I37</f>
        <v>22654352.210000001</v>
      </c>
      <c r="J12" s="4">
        <f ca="1">J37</f>
        <v>22380666.300000001</v>
      </c>
      <c r="K12" s="4">
        <f ca="1">K37</f>
        <v>22677391.93</v>
      </c>
      <c r="L12" s="4">
        <f ca="1">L37</f>
        <v>22636272.18</v>
      </c>
      <c r="M12" s="4">
        <f ca="1">M37</f>
        <v>24594000</v>
      </c>
      <c r="N12" s="98">
        <f t="shared" ca="1" si="2"/>
        <v>67694330.409999996</v>
      </c>
    </row>
    <row r="13" spans="1:14">
      <c r="A13">
        <v>3450</v>
      </c>
      <c r="B13" t="s">
        <v>7</v>
      </c>
      <c r="C13" s="3">
        <f t="shared" ca="1" si="3"/>
        <v>0.27615918885069113</v>
      </c>
      <c r="D13" s="3">
        <f t="shared" ca="1" si="3"/>
        <v>0.26593194978525303</v>
      </c>
      <c r="E13" s="3">
        <f t="shared" ca="1" si="3"/>
        <v>0.26464431317755055</v>
      </c>
      <c r="F13" s="3">
        <f t="shared" ca="1" si="3"/>
        <v>0.24392900073578733</v>
      </c>
      <c r="G13" s="3">
        <f t="shared" ca="1" si="3"/>
        <v>0.26586751583885776</v>
      </c>
      <c r="I13" s="4">
        <f ca="1">IFERROR(VLOOKUP($A13,Resultat2020!$B$11:$D$300,3,FALSE),"")</f>
        <v>11314425</v>
      </c>
      <c r="J13" s="4">
        <f ca="1">IFERROR(VLOOKUP($A13,Resultat2021!$B$11:$D$300,3,FALSE),"")</f>
        <v>11597823</v>
      </c>
      <c r="K13" s="4">
        <f ca="1">IFERROR(VLOOKUP($A13,Resultat2022!$B$11:$D$300,3,FALSE),"")</f>
        <v>11915127</v>
      </c>
      <c r="L13" s="4">
        <f ca="1">IFERROR(VLOOKUP($A13,Resultat2023!$B$11:$D$300,3,FALSE),"")</f>
        <v>12380207.4</v>
      </c>
      <c r="M13" s="4">
        <f ca="1">IFERROR(VLOOKUP($A13,Budsjett2024!$B$11:$D$300,3,FALSE),"")</f>
        <v>13394000</v>
      </c>
      <c r="N13" s="98">
        <f t="shared" ca="1" si="2"/>
        <v>35893157.399999999</v>
      </c>
    </row>
    <row r="14" spans="1:14">
      <c r="A14" s="99"/>
      <c r="B14" t="s">
        <v>13</v>
      </c>
      <c r="C14" s="3">
        <f t="shared" ca="1" si="3"/>
        <v>6.4021769774259926E-2</v>
      </c>
      <c r="D14" s="3">
        <f t="shared" ca="1" si="3"/>
        <v>0.10146191909483666</v>
      </c>
      <c r="E14" s="3">
        <f t="shared" ca="1" si="3"/>
        <v>6.2545295021141895E-2</v>
      </c>
      <c r="F14" s="3">
        <f t="shared" ca="1" si="3"/>
        <v>3.6385877325552034E-2</v>
      </c>
      <c r="G14" s="3">
        <f t="shared" ca="1" si="3"/>
        <v>5.7391951622195791E-2</v>
      </c>
      <c r="I14" s="4">
        <f ca="1">I32</f>
        <v>2623014.34</v>
      </c>
      <c r="J14" s="4">
        <f ca="1">J32</f>
        <v>4424956.76</v>
      </c>
      <c r="K14" s="4">
        <f ca="1">K32</f>
        <v>2815987.71</v>
      </c>
      <c r="L14" s="4">
        <f ca="1">L32</f>
        <v>1846704.19</v>
      </c>
      <c r="M14" s="4">
        <f ca="1">M32</f>
        <v>2891319</v>
      </c>
      <c r="N14" s="98">
        <f t="shared" ca="1" si="2"/>
        <v>9087648.6600000001</v>
      </c>
    </row>
    <row r="15" spans="1:14">
      <c r="B15" t="s">
        <v>14</v>
      </c>
      <c r="C15" s="3"/>
      <c r="I15" s="98">
        <f ca="1">I8</f>
        <v>40970662.779999994</v>
      </c>
      <c r="J15" s="98">
        <f ca="1">J8</f>
        <v>43611995.509999998</v>
      </c>
      <c r="K15" s="98">
        <f ca="1">K8</f>
        <v>45023174.150000006</v>
      </c>
      <c r="L15" s="98">
        <f ca="1">L8</f>
        <v>50753323.149999991</v>
      </c>
      <c r="M15" s="98">
        <f ca="1">M8</f>
        <v>50378475</v>
      </c>
      <c r="N15" s="98">
        <f t="shared" ca="1" si="2"/>
        <v>139388492.81</v>
      </c>
    </row>
    <row r="16" spans="1:14">
      <c r="C16" s="3"/>
      <c r="J16" s="4" t="str">
        <f ca="1">IFERROR(VLOOKUP($B16,Resultat2021!$B$11:$D$300,3,FALSE),"")</f>
        <v/>
      </c>
      <c r="K16" s="4" t="str">
        <f ca="1">IFERROR(VLOOKUP($B16,Resultat2022!$B$11:$D$300,3,FALSE),"")</f>
        <v/>
      </c>
      <c r="L16" s="4" t="str">
        <f ca="1">IFERROR(VLOOKUP($B16,Resultat2023!$B$11:$D$300,3,FALSE),"")</f>
        <v/>
      </c>
      <c r="M16" s="4" t="str">
        <f ca="1">IFERROR(VLOOKUP($B16,Budsjett2024!$B$11:$D$300,3,FALSE),"")</f>
        <v/>
      </c>
      <c r="N16" s="98">
        <f t="shared" ca="1" si="2"/>
        <v>0</v>
      </c>
    </row>
    <row r="17" spans="1:14">
      <c r="C17" s="3"/>
      <c r="J17" s="4" t="str">
        <f ca="1">IFERROR(VLOOKUP($B17,Resultat2021!$B$11:$D$300,3,FALSE),"")</f>
        <v/>
      </c>
      <c r="K17" s="4" t="str">
        <f ca="1">IFERROR(VLOOKUP($B17,Resultat2022!$B$11:$D$300,3,FALSE),"")</f>
        <v/>
      </c>
      <c r="L17" s="4" t="str">
        <f ca="1">IFERROR(VLOOKUP($B17,Resultat2023!$B$11:$D$300,3,FALSE),"")</f>
        <v/>
      </c>
      <c r="M17" s="4" t="str">
        <f ca="1">IFERROR(VLOOKUP($B17,Budsjett2024!$B$11:$D$300,3,FALSE),"")</f>
        <v/>
      </c>
      <c r="N17" s="98">
        <f t="shared" ca="1" si="2"/>
        <v>0</v>
      </c>
    </row>
    <row r="18" spans="1:14">
      <c r="C18" s="3"/>
      <c r="J18" s="4" t="str">
        <f ca="1">IFERROR(VLOOKUP($B18,Resultat2021!$B$11:$D$300,3,FALSE),"")</f>
        <v/>
      </c>
      <c r="K18" s="4" t="str">
        <f ca="1">IFERROR(VLOOKUP($B18,Resultat2022!$B$11:$D$300,3,FALSE),"")</f>
        <v/>
      </c>
      <c r="L18" s="4" t="str">
        <f ca="1">IFERROR(VLOOKUP($B18,Resultat2023!$B$11:$D$300,3,FALSE),"")</f>
        <v/>
      </c>
      <c r="M18" s="4" t="str">
        <f ca="1">IFERROR(VLOOKUP($B18,Budsjett2024!$B$11:$D$300,3,FALSE),"")</f>
        <v/>
      </c>
      <c r="N18" s="98">
        <f t="shared" ca="1" si="2"/>
        <v>0</v>
      </c>
    </row>
    <row r="19" spans="1:14">
      <c r="B19" t="s">
        <v>15</v>
      </c>
      <c r="C19" s="3"/>
      <c r="J19" s="4" t="str">
        <f ca="1">IFERROR(VLOOKUP($B19,Resultat2021!$B$11:$D$300,3,FALSE),"")</f>
        <v/>
      </c>
      <c r="K19" s="4" t="str">
        <f ca="1">IFERROR(VLOOKUP($B19,Resultat2022!$B$11:$D$300,3,FALSE),"")</f>
        <v/>
      </c>
      <c r="L19" s="4" t="str">
        <f ca="1">IFERROR(VLOOKUP($B19,Resultat2023!$B$11:$D$300,3,FALSE),"")</f>
        <v/>
      </c>
      <c r="M19" s="4" t="str">
        <f ca="1">IFERROR(VLOOKUP($B19,Budsjett2024!$B$11:$D$300,3,FALSE),"")</f>
        <v/>
      </c>
      <c r="N19" s="98">
        <f t="shared" ca="1" si="2"/>
        <v>0</v>
      </c>
    </row>
    <row r="20" spans="1:14">
      <c r="A20" t="s">
        <v>16</v>
      </c>
      <c r="B20" t="s">
        <v>16</v>
      </c>
      <c r="C20" s="3">
        <f t="shared" ref="C20:G22" ca="1" si="4">IFERROR(I20/I$23,"")</f>
        <v>1.0275627563356587E-3</v>
      </c>
      <c r="D20" s="3">
        <f t="shared" ca="1" si="4"/>
        <v>6.4949721929351213E-4</v>
      </c>
      <c r="E20" s="3">
        <f t="shared" ca="1" si="4"/>
        <v>6.2537520334968854E-3</v>
      </c>
      <c r="F20" s="3">
        <f t="shared" ca="1" si="4"/>
        <v>8.210630459892225E-3</v>
      </c>
      <c r="G20" s="3">
        <f t="shared" ca="1" si="4"/>
        <v>6.5129820339453791E-3</v>
      </c>
      <c r="I20" s="4">
        <f ca="1">VLOOKUP($B20,Resultat2020!$B$11:$D$300,3,FALSE)</f>
        <v>40338.89</v>
      </c>
      <c r="J20" s="4">
        <f ca="1">IFERROR(VLOOKUP($A20,Resultat2021!$B$11:$D$300,3,FALSE),"")</f>
        <v>26419.37</v>
      </c>
      <c r="K20" s="4">
        <f ca="1">IFERROR(VLOOKUP($A20,Resultat2022!$B$11:$D$300,3,FALSE),"")</f>
        <v>281503.73</v>
      </c>
      <c r="L20" s="4">
        <f ca="1">IFERROR(VLOOKUP($A20,Resultat2023!$B$11:$D$300,3,FALSE),"")</f>
        <v>435524.45</v>
      </c>
      <c r="M20" s="4">
        <f ca="1">IFERROR(VLOOKUP($A20,Budsjett2024!$B$11:$D$300,3,FALSE),"")</f>
        <v>388444.6</v>
      </c>
      <c r="N20" s="98">
        <f t="shared" ca="1" si="2"/>
        <v>743447.55</v>
      </c>
    </row>
    <row r="21" spans="1:14">
      <c r="A21" s="100" t="s">
        <v>17</v>
      </c>
      <c r="B21" s="100" t="s">
        <v>17</v>
      </c>
      <c r="C21" s="3">
        <f t="shared" ca="1" si="4"/>
        <v>0.41404733385793191</v>
      </c>
      <c r="D21" s="3">
        <f t="shared" ca="1" si="4"/>
        <v>0.39951821512366115</v>
      </c>
      <c r="E21" s="3">
        <f t="shared" ca="1" si="4"/>
        <v>0.3734646041717406</v>
      </c>
      <c r="F21" s="3">
        <f t="shared" ca="1" si="4"/>
        <v>0.36681727584504165</v>
      </c>
      <c r="G21" s="3">
        <f t="shared" ca="1" si="4"/>
        <v>0.38152179907172867</v>
      </c>
      <c r="I21" s="4">
        <f ca="1">VLOOKUP($B21,Resultat2020!$B$11:$D$300,3,FALSE)</f>
        <v>16254199.320000002</v>
      </c>
      <c r="J21" s="4">
        <f ca="1">IFERROR(VLOOKUP($A21,Resultat2021!$B$11:$D$300,3,FALSE),"")</f>
        <v>16251061.949999997</v>
      </c>
      <c r="K21" s="4">
        <f ca="1">IFERROR(VLOOKUP($A21,Resultat2022!$B$11:$D$300,3,FALSE),"")</f>
        <v>16810976.599999998</v>
      </c>
      <c r="L21" s="4">
        <f ca="1">IFERROR(VLOOKUP($A21,Resultat2023!$B$11:$D$300,3,FALSE),"")</f>
        <v>19457445.210000001</v>
      </c>
      <c r="M21" s="4">
        <f ca="1">IFERROR(VLOOKUP($A21,Budsjett2024!$B$11:$D$300,3,FALSE),"")</f>
        <v>22754566.473435</v>
      </c>
      <c r="N21" s="98">
        <f t="shared" ca="1" si="2"/>
        <v>52519483.759999998</v>
      </c>
    </row>
    <row r="22" spans="1:14">
      <c r="A22" t="s">
        <v>18</v>
      </c>
      <c r="B22" t="s">
        <v>18</v>
      </c>
      <c r="C22" s="3">
        <f t="shared" ca="1" si="4"/>
        <v>0.58492510338573234</v>
      </c>
      <c r="D22" s="3">
        <f t="shared" ca="1" si="4"/>
        <v>0.59983228765704533</v>
      </c>
      <c r="E22" s="3">
        <f t="shared" ca="1" si="4"/>
        <v>0.62028164379476258</v>
      </c>
      <c r="F22" s="3">
        <f t="shared" ca="1" si="4"/>
        <v>0.62497209369506612</v>
      </c>
      <c r="G22" s="3">
        <f t="shared" ca="1" si="4"/>
        <v>0.61196521889432587</v>
      </c>
      <c r="I22" s="4">
        <f ca="1">VLOOKUP($B22,Resultat2020!$B$11:$D$300,3,FALSE)</f>
        <v>22962324.449999999</v>
      </c>
      <c r="J22" s="4">
        <f ca="1">IFERROR(VLOOKUP($A22,Resultat2021!$B$11:$D$300,3,FALSE),"")</f>
        <v>24399167.039999999</v>
      </c>
      <c r="K22" s="4">
        <f ca="1">IFERROR(VLOOKUP($A22,Resultat2022!$B$11:$D$300,3,FALSE),"")</f>
        <v>27921093.679999996</v>
      </c>
      <c r="L22" s="4">
        <f ca="1">IFERROR(VLOOKUP($A22,Resultat2023!$B$11:$D$300,3,FALSE),"")</f>
        <v>33151002.069999997</v>
      </c>
      <c r="M22" s="4">
        <f ca="1">IFERROR(VLOOKUP($A22,Budsjett2024!$B$11:$D$300,3,FALSE),"")</f>
        <v>36498578.289999999</v>
      </c>
      <c r="N22" s="98">
        <f t="shared" ca="1" si="2"/>
        <v>85471262.789999992</v>
      </c>
    </row>
    <row r="23" spans="1:14">
      <c r="A23" t="s">
        <v>19</v>
      </c>
      <c r="B23" t="s">
        <v>19</v>
      </c>
      <c r="I23" s="4">
        <f ca="1">VLOOKUP($B23,Resultat2020!$B$11:$D$300,3,FALSE)</f>
        <v>39256862.660000004</v>
      </c>
      <c r="J23" s="4">
        <f ca="1">IFERROR(VLOOKUP($A23,Resultat2021!$B$11:$D$300,3,FALSE),"")</f>
        <v>40676648.359999999</v>
      </c>
      <c r="K23" s="4">
        <f ca="1">IFERROR(VLOOKUP($A23,Resultat2022!$B$11:$D$300,3,FALSE),"")</f>
        <v>45013574.00999999</v>
      </c>
      <c r="L23" s="4">
        <f ca="1">IFERROR(VLOOKUP($A23,Resultat2023!$B$11:$D$300,3,FALSE),"")</f>
        <v>53043971.729999997</v>
      </c>
      <c r="M23" s="4">
        <f ca="1">IFERROR(VLOOKUP($A23,Budsjett2024!$B$11:$D$300,3,FALSE),"")</f>
        <v>59641589.363435</v>
      </c>
      <c r="N23" s="98">
        <f t="shared" ca="1" si="2"/>
        <v>138734194.09999999</v>
      </c>
    </row>
    <row r="24" spans="1:14">
      <c r="J24" s="4" t="str">
        <f ca="1">IFERROR(VLOOKUP($B24,Resultat2021!$B$11:$D$300,3,FALSE),"")</f>
        <v/>
      </c>
      <c r="K24" s="4" t="str">
        <f ca="1">IFERROR(VLOOKUP($B24,Resultat2022!$B$11:$D$300,3,FALSE),"")</f>
        <v/>
      </c>
      <c r="L24" s="4" t="str">
        <f ca="1">IFERROR(VLOOKUP($B24,Resultat2023!$B$11:$D$300,3,FALSE),"")</f>
        <v/>
      </c>
      <c r="M24" s="4" t="str">
        <f ca="1">IFERROR(VLOOKUP($B24,Budsjett2024!$B$11:$D$300,3,FALSE),"")</f>
        <v/>
      </c>
      <c r="N24" s="98">
        <f t="shared" ca="1" si="2"/>
        <v>0</v>
      </c>
    </row>
    <row r="25" spans="1:14">
      <c r="J25" s="4" t="str">
        <f ca="1">IFERROR(VLOOKUP($B25,Resultat2021!$B$11:$D$300,3,FALSE),"")</f>
        <v/>
      </c>
      <c r="K25" s="4" t="str">
        <f ca="1">IFERROR(VLOOKUP($B25,Resultat2022!$B$11:$D$300,3,FALSE),"")</f>
        <v/>
      </c>
      <c r="L25" s="4" t="str">
        <f ca="1">IFERROR(VLOOKUP($B25,Resultat2023!$B$11:$D$300,3,FALSE),"")</f>
        <v/>
      </c>
      <c r="M25" s="4" t="str">
        <f ca="1">IFERROR(VLOOKUP($B25,Budsjett2024!$B$11:$D$300,3,FALSE),"")</f>
        <v/>
      </c>
      <c r="N25" s="98">
        <f t="shared" ca="1" si="2"/>
        <v>0</v>
      </c>
    </row>
    <row r="26" spans="1:14">
      <c r="J26" s="4" t="str">
        <f ca="1">IFERROR(VLOOKUP($B26,Resultat2021!$B$11:$D$300,3,FALSE),"")</f>
        <v/>
      </c>
      <c r="K26" s="4" t="str">
        <f ca="1">IFERROR(VLOOKUP($B26,Resultat2022!$B$11:$D$300,3,FALSE),"")</f>
        <v/>
      </c>
      <c r="L26" s="4" t="str">
        <f ca="1">IFERROR(VLOOKUP($B26,Resultat2023!$B$11:$D$300,3,FALSE),"")</f>
        <v/>
      </c>
      <c r="M26" s="4" t="str">
        <f ca="1">IFERROR(VLOOKUP($B26,Budsjett2024!$B$11:$D$300,3,FALSE),"")</f>
        <v/>
      </c>
      <c r="N26" s="98">
        <f t="shared" ca="1" si="2"/>
        <v>0</v>
      </c>
    </row>
    <row r="27" spans="1:14">
      <c r="B27" t="s">
        <v>20</v>
      </c>
      <c r="J27" s="4" t="str">
        <f ca="1">IFERROR(VLOOKUP($B27,Resultat2021!$B$11:$D$300,3,FALSE),"")</f>
        <v/>
      </c>
      <c r="K27" s="4" t="str">
        <f ca="1">IFERROR(VLOOKUP($B27,Resultat2022!$B$11:$D$300,3,FALSE),"")</f>
        <v/>
      </c>
      <c r="L27" s="4" t="str">
        <f ca="1">IFERROR(VLOOKUP($B27,Resultat2023!$B$11:$D$300,3,FALSE),"")</f>
        <v/>
      </c>
      <c r="M27" s="4" t="str">
        <f ca="1">IFERROR(VLOOKUP($B27,Budsjett2024!$B$11:$D$300,3,FALSE),"")</f>
        <v/>
      </c>
      <c r="N27" s="98">
        <f t="shared" ca="1" si="2"/>
        <v>0</v>
      </c>
    </row>
    <row r="28" spans="1:14">
      <c r="B28" s="1" t="s">
        <v>21</v>
      </c>
      <c r="J28" s="4" t="str">
        <f ca="1">IFERROR(VLOOKUP($A28,Resultat2021!$B$11:$D$300,3,FALSE),"")</f>
        <v/>
      </c>
      <c r="K28" s="4" t="str">
        <f ca="1">IFERROR(VLOOKUP($A28,Resultat2022!$B$11:$D$300,3,FALSE),"")</f>
        <v/>
      </c>
      <c r="L28" s="4" t="str">
        <f ca="1">IFERROR(VLOOKUP($A28,Resultat2023!$B$11:$D$300,3,FALSE),"")</f>
        <v/>
      </c>
      <c r="M28" s="4" t="str">
        <f ca="1">IFERROR(VLOOKUP($A28,Budsjett2024!$B$11:$D$300,3,FALSE),"")</f>
        <v/>
      </c>
      <c r="N28" s="98">
        <f t="shared" ca="1" si="2"/>
        <v>0</v>
      </c>
    </row>
    <row r="29" spans="1:14">
      <c r="A29" s="28">
        <v>3410</v>
      </c>
      <c r="B29" t="s">
        <v>22</v>
      </c>
      <c r="I29" s="4">
        <f ca="1">IFERROR(VLOOKUP($A29,Resultat2020!$B$11:$D$300,3,FALSE),"")</f>
        <v>3077286.53</v>
      </c>
      <c r="J29" s="4">
        <f ca="1">IFERROR(VLOOKUP($A29,Resultat2021!$B$11:$D$300,3,FALSE),"")</f>
        <v>3891232.1</v>
      </c>
      <c r="K29" s="4">
        <f ca="1">IFERROR(VLOOKUP($A29,Resultat2022!$B$11:$D$300,3,FALSE),"")</f>
        <v>2631764</v>
      </c>
      <c r="L29" s="4">
        <f ca="1">IFERROR(VLOOKUP($A29,Resultat2023!$B$11:$D$300,3,FALSE),"")</f>
        <v>1710885.15</v>
      </c>
      <c r="M29" s="4">
        <f ca="1">IFERROR(VLOOKUP($A29,Budsjett2024!$B$11:$D$300,3,FALSE),"")</f>
        <v>2688926</v>
      </c>
      <c r="N29" s="98">
        <f t="shared" ca="1" si="2"/>
        <v>8233881.25</v>
      </c>
    </row>
    <row r="30" spans="1:14">
      <c r="A30" s="28">
        <v>3411</v>
      </c>
      <c r="B30" t="s">
        <v>23</v>
      </c>
      <c r="I30" s="4">
        <f ca="1">IFERROR(VLOOKUP($A30,Resultat2020!$B$11:$D$300,3,FALSE),"")</f>
        <v>215410.81</v>
      </c>
      <c r="J30" s="4">
        <f ca="1">IFERROR(VLOOKUP($A30,Resultat2021!$B$11:$D$300,3,FALSE),"")</f>
        <v>272386.65999999997</v>
      </c>
      <c r="K30" s="4">
        <f ca="1">IFERROR(VLOOKUP($A30,Resultat2022!$B$11:$D$300,3,FALSE),"")</f>
        <v>184223.71</v>
      </c>
      <c r="L30" s="4">
        <f ca="1">IFERROR(VLOOKUP($A30,Resultat2023!$B$11:$D$300,3,FALSE),"")</f>
        <v>135819.04</v>
      </c>
      <c r="M30" s="4">
        <f ca="1">IFERROR(VLOOKUP($A30,Budsjett2024!$B$11:$D$300,3,FALSE),"")</f>
        <v>202393</v>
      </c>
      <c r="N30" s="98">
        <f t="shared" ca="1" si="2"/>
        <v>592429.41</v>
      </c>
    </row>
    <row r="31" spans="1:14">
      <c r="A31" s="28">
        <v>3412</v>
      </c>
      <c r="B31" t="s">
        <v>24</v>
      </c>
      <c r="I31" s="4">
        <f ca="1">IFERROR(VLOOKUP($A31,Resultat2020!$B$11:$D$300,3,FALSE),"")</f>
        <v>-669683</v>
      </c>
      <c r="J31" s="4">
        <f ca="1">IFERROR(VLOOKUP($A31,Resultat2021!$B$11:$D$300,3,FALSE),"")</f>
        <v>261338</v>
      </c>
      <c r="K31" s="4">
        <f ca="1">IFERROR(VLOOKUP($A31,Resultat2022!$B$11:$D$300,3,FALSE),"")</f>
        <v>0</v>
      </c>
      <c r="L31" s="4" t="str">
        <f ca="1">IFERROR(VLOOKUP($A31,Resultat2023!$B$11:$D$300,3,FALSE),"")</f>
        <v/>
      </c>
      <c r="M31" s="4" t="str">
        <f ca="1">IFERROR(VLOOKUP($A31,Budsjett2024!$B$11:$D$300,3,FALSE),"")</f>
        <v/>
      </c>
      <c r="N31" s="98">
        <f t="shared" ca="1" si="2"/>
        <v>261338</v>
      </c>
    </row>
    <row r="32" spans="1:14">
      <c r="B32" t="s">
        <v>25</v>
      </c>
      <c r="I32" s="98">
        <f ca="1">SUM(I29:I31)</f>
        <v>2623014.34</v>
      </c>
      <c r="J32" s="98">
        <f ca="1">SUM(J29:J31)</f>
        <v>4424956.76</v>
      </c>
      <c r="K32" s="98">
        <f ca="1">SUM(K29:K31)</f>
        <v>2815987.71</v>
      </c>
      <c r="L32" s="98">
        <f ca="1">SUM(L29:L31)</f>
        <v>1846704.19</v>
      </c>
      <c r="M32" s="98">
        <f ca="1">SUM(M29:M31)</f>
        <v>2891319</v>
      </c>
      <c r="N32" s="98">
        <f t="shared" ca="1" si="2"/>
        <v>9087648.6600000001</v>
      </c>
    </row>
    <row r="33" spans="1:14">
      <c r="B33" s="1" t="s">
        <v>26</v>
      </c>
      <c r="J33" s="4" t="str">
        <f ca="1">IFERROR(VLOOKUP($A33,Resultat2021!$B$11:$D$300,3,FALSE),"")</f>
        <v/>
      </c>
      <c r="K33" s="4" t="str">
        <f ca="1">IFERROR(VLOOKUP($A33,Resultat2022!$B$11:$D$300,3,FALSE),"")</f>
        <v/>
      </c>
      <c r="L33" s="4" t="str">
        <f ca="1">IFERROR(VLOOKUP($A33,Resultat2023!$B$11:$D$300,3,FALSE),"")</f>
        <v/>
      </c>
      <c r="M33" s="4" t="str">
        <f ca="1">IFERROR(VLOOKUP($A33,Budsjett2024!$B$11:$D$300,3,FALSE),"")</f>
        <v/>
      </c>
      <c r="N33" s="98">
        <f t="shared" ca="1" si="2"/>
        <v>0</v>
      </c>
    </row>
    <row r="34" spans="1:14">
      <c r="A34" s="28">
        <v>3210</v>
      </c>
      <c r="B34" t="s">
        <v>27</v>
      </c>
      <c r="I34" s="4">
        <f ca="1">IFERROR(VLOOKUP($A34,Resultat2020!$B$11:$D$300,3,FALSE),"")</f>
        <v>11146240</v>
      </c>
      <c r="J34" s="4">
        <f ca="1">IFERROR(VLOOKUP($A34,Resultat2021!$B$11:$D$300,3,FALSE),"")</f>
        <v>9767101.0399999991</v>
      </c>
      <c r="K34" s="4">
        <f ca="1">IFERROR(VLOOKUP($A34,Resultat2022!$B$11:$D$300,3,FALSE),"")</f>
        <v>10762240</v>
      </c>
      <c r="L34" s="4">
        <f ca="1">IFERROR(VLOOKUP($A34,Resultat2023!$B$11:$D$300,3,FALSE),"")</f>
        <v>13084800</v>
      </c>
      <c r="M34" s="4">
        <f ca="1">IFERROR(VLOOKUP($A34,Budsjett2024!$B$11:$D$300,3,FALSE),"")</f>
        <v>14094000</v>
      </c>
      <c r="N34" s="98">
        <f t="shared" ca="1" si="2"/>
        <v>33614141.039999999</v>
      </c>
    </row>
    <row r="35" spans="1:14">
      <c r="A35" s="28">
        <v>3212</v>
      </c>
      <c r="B35" t="s">
        <v>28</v>
      </c>
      <c r="I35" s="4">
        <f ca="1">IFERROR(VLOOKUP($A35,Resultat2020!$B$11:$D$300,3,FALSE),"")</f>
        <v>2786560</v>
      </c>
      <c r="J35" s="4">
        <f ca="1">IFERROR(VLOOKUP($A35,Resultat2021!$B$11:$D$300,3,FALSE),"")</f>
        <v>2584948.96</v>
      </c>
      <c r="K35" s="4">
        <f ca="1">IFERROR(VLOOKUP($A35,Resultat2022!$B$11:$D$300,3,FALSE),"")</f>
        <v>2690560</v>
      </c>
      <c r="L35" s="4">
        <f ca="1">IFERROR(VLOOKUP($A35,Resultat2023!$B$11:$D$300,3,FALSE),"")</f>
        <v>0</v>
      </c>
      <c r="M35" s="4">
        <f ca="1">IFERROR(VLOOKUP($A35,Budsjett2024!$B$11:$D$300,3,FALSE),"")</f>
        <v>0</v>
      </c>
      <c r="N35" s="98">
        <f t="shared" ca="1" si="2"/>
        <v>5275508.96</v>
      </c>
    </row>
    <row r="36" spans="1:14">
      <c r="A36" s="130">
        <v>3230</v>
      </c>
      <c r="B36" t="s">
        <v>29</v>
      </c>
      <c r="I36" s="4">
        <f ca="1">IFERROR(VLOOKUP($A36,Resultat2020!$B$11:$D$300,3,FALSE),"")</f>
        <v>8721552.2100000009</v>
      </c>
      <c r="J36" s="4">
        <f ca="1">IFERROR(VLOOKUP($A36,Resultat2021!$B$11:$D$300,3,FALSE),"")</f>
        <v>10028616.300000001</v>
      </c>
      <c r="K36" s="4">
        <f ca="1">IFERROR(VLOOKUP($A36,Resultat2022!$B$11:$D$300,3,FALSE),"")</f>
        <v>9224591.9299999997</v>
      </c>
      <c r="L36" s="4">
        <f ca="1">IFERROR(VLOOKUP($A36,Resultat2023!$B$11:$D$300,3,FALSE),"")</f>
        <v>9551472.1799999997</v>
      </c>
      <c r="M36" s="4">
        <f ca="1">IFERROR(VLOOKUP($A36,Budsjett2024!$B$11:$D$300,3,FALSE),"")</f>
        <v>10500000</v>
      </c>
      <c r="N36" s="98">
        <f t="shared" ca="1" si="2"/>
        <v>28804680.41</v>
      </c>
    </row>
    <row r="37" spans="1:14">
      <c r="B37" t="s">
        <v>25</v>
      </c>
      <c r="I37" s="98">
        <f ca="1">SUM(I34:I36)</f>
        <v>22654352.210000001</v>
      </c>
      <c r="J37" s="98">
        <f ca="1">SUM(J34:J36)</f>
        <v>22380666.300000001</v>
      </c>
      <c r="K37" s="98">
        <f ca="1">SUM(K34:K36)</f>
        <v>22677391.93</v>
      </c>
      <c r="L37" s="98">
        <f ca="1">SUM(L34:L36)</f>
        <v>22636272.18</v>
      </c>
      <c r="M37" s="98">
        <f ca="1">SUM(M34:M36)</f>
        <v>24594000</v>
      </c>
      <c r="N37" s="98">
        <f t="shared" ca="1" si="2"/>
        <v>67694330.409999996</v>
      </c>
    </row>
    <row r="38" spans="1:14">
      <c r="I38" s="4"/>
      <c r="N38" s="98">
        <f t="shared" si="2"/>
        <v>0</v>
      </c>
    </row>
    <row r="39" spans="1:14">
      <c r="B39" s="1" t="s">
        <v>30</v>
      </c>
      <c r="I39" s="4"/>
      <c r="N39" s="98">
        <f t="shared" si="2"/>
        <v>0</v>
      </c>
    </row>
    <row r="40" spans="1:14">
      <c r="B40" s="1" t="s">
        <v>31</v>
      </c>
      <c r="I40" s="4"/>
      <c r="N40" s="98">
        <f t="shared" si="2"/>
        <v>0</v>
      </c>
    </row>
    <row r="41" spans="1:14">
      <c r="A41">
        <v>2071</v>
      </c>
      <c r="B41" t="s">
        <v>32</v>
      </c>
      <c r="I41" s="4">
        <f ca="1">IFERROR(VLOOKUP($A41,Balanse2021!$B$6:$H$200,5,FALSE),"")</f>
        <v>2300000</v>
      </c>
      <c r="J41" s="4">
        <f ca="1">IFERROR(VLOOKUP($A41,Balanse2021!$B$6:$H$200,7,FALSE),"")</f>
        <v>2300000</v>
      </c>
      <c r="K41" s="4">
        <f ca="1">IFERROR(VLOOKUP($A41,Balanse2022!$B$6:$H$200,7,FALSE),"")</f>
        <v>2264445.59</v>
      </c>
      <c r="L41" s="4">
        <f ca="1">IFERROR(VLOOKUP($A41,Balanse2023!$B$6:$H$200,7,FALSE),"")</f>
        <v>2347468.09</v>
      </c>
      <c r="M41" s="4"/>
      <c r="N41" s="98">
        <f t="shared" ca="1" si="2"/>
        <v>6911913.6799999997</v>
      </c>
    </row>
    <row r="42" spans="1:14">
      <c r="A42">
        <v>2072</v>
      </c>
      <c r="B42" t="s">
        <v>33</v>
      </c>
      <c r="I42" s="4">
        <f ca="1">IFERROR(VLOOKUP($A42,Balanse2021!$B$6:$H$200,5,FALSE),"")</f>
        <v>2289711.7599999998</v>
      </c>
      <c r="J42" s="4">
        <f ca="1">IFERROR(VLOOKUP($A42,Balanse2021!$B$6:$H$200,7,FALSE),"")</f>
        <v>2997322.42</v>
      </c>
      <c r="K42" s="4">
        <f ca="1">IFERROR(VLOOKUP($A42,Balanse2022!$B$6:$H$200,7,FALSE),"")</f>
        <v>3070004.17</v>
      </c>
      <c r="L42" s="4">
        <f ca="1">IFERROR(VLOOKUP($A42,Balanse2023!$B$6:$H$200,7,FALSE),"")</f>
        <v>1214080.0899999999</v>
      </c>
      <c r="M42" s="4"/>
      <c r="N42" s="98">
        <f t="shared" ca="1" si="2"/>
        <v>7281406.6799999997</v>
      </c>
    </row>
    <row r="43" spans="1:14">
      <c r="B43" t="s">
        <v>34</v>
      </c>
      <c r="I43" s="4">
        <f ca="1">SUM(I41:I42)</f>
        <v>4589711.76</v>
      </c>
      <c r="J43" s="4">
        <f ca="1">SUM(J41:J42)</f>
        <v>5297322.42</v>
      </c>
      <c r="K43" s="4">
        <f ca="1">SUM(K41:K42)</f>
        <v>5334449.76</v>
      </c>
      <c r="L43" s="4">
        <f ca="1">SUM(L41:L42)</f>
        <v>3561548.1799999997</v>
      </c>
      <c r="M43" s="4"/>
      <c r="N43" s="98">
        <f t="shared" ca="1" si="2"/>
        <v>14193320.359999999</v>
      </c>
    </row>
    <row r="44" spans="1:14">
      <c r="I44" s="4" t="str">
        <f ca="1">IFERROR(VLOOKUP($A44,Balanse2021!$B$6:$H$200,3,FALSE),"")</f>
        <v/>
      </c>
      <c r="N44" s="98"/>
    </row>
    <row r="45" spans="1:14" ht="18">
      <c r="B45" s="125" t="s">
        <v>30</v>
      </c>
      <c r="I45" s="4" t="str">
        <f ca="1">IFERROR(VLOOKUP($A45,Balanse2021!$B$6:$H$200,3,FALSE),"")</f>
        <v/>
      </c>
      <c r="N45" s="98"/>
    </row>
    <row r="46" spans="1:14">
      <c r="A46" t="s">
        <v>35</v>
      </c>
      <c r="B46" t="s">
        <v>36</v>
      </c>
      <c r="I46" s="4">
        <f ca="1">IFERROR(VLOOKUP($A46,Balanse2021!$B$6:$H$200,5,FALSE),"")</f>
        <v>5978135.4199999999</v>
      </c>
      <c r="J46" s="4">
        <f ca="1">IFERROR(VLOOKUP($A46,Balanse2021!$B$6:$H$200,7,FALSE),"")</f>
        <v>5927090.5899999999</v>
      </c>
      <c r="K46" s="4">
        <f ca="1">IFERROR(VLOOKUP($A46,Balanse2022!$B$6:$H$200,7,FALSE),"")</f>
        <v>5810453.3700000001</v>
      </c>
      <c r="L46" s="4">
        <f ca="1">IFERROR(VLOOKUP($A46,Balanse2023!$B$6:$H$200,7,FALSE),"")</f>
        <v>6403943.4400000004</v>
      </c>
      <c r="N46" s="98"/>
    </row>
    <row r="47" spans="1:14">
      <c r="A47" t="s">
        <v>37</v>
      </c>
      <c r="B47" t="s">
        <v>38</v>
      </c>
      <c r="I47" s="4">
        <f ca="1">IFERROR(VLOOKUP($A47,Balanse2021!$B$6:$H$200,5,FALSE),"")</f>
        <v>84269534.590000004</v>
      </c>
      <c r="J47" s="4">
        <f ca="1">IFERROR(VLOOKUP($A47,Balanse2021!$B$6:$H$200,7,FALSE),"")</f>
        <v>74204953.420000002</v>
      </c>
      <c r="K47" s="4">
        <f ca="1">IFERROR(VLOOKUP($A47,Balanse2022!$B$6:$H$200,7,FALSE),"")</f>
        <v>74508005.879999995</v>
      </c>
      <c r="L47" s="4">
        <f ca="1">IFERROR(VLOOKUP($A47,Balanse2023!$B$6:$H$200,7,FALSE),"")</f>
        <v>77346185.469999999</v>
      </c>
      <c r="N47" s="98"/>
    </row>
    <row r="48" spans="1:14">
      <c r="A48" t="s">
        <v>39</v>
      </c>
      <c r="B48" t="s">
        <v>40</v>
      </c>
      <c r="I48" s="126">
        <f ca="1">IFERROR(VLOOKUP($A48,Balanse2021!$B$6:$H$200,5,FALSE),"")</f>
        <v>90247670.010000005</v>
      </c>
      <c r="J48" s="126">
        <f ca="1">IFERROR(VLOOKUP($A48,Balanse2021!$B$6:$H$200,7,FALSE),"")</f>
        <v>80132044.010000005</v>
      </c>
      <c r="K48" s="126">
        <f ca="1">IFERROR(VLOOKUP($A48,Balanse2022!$B$6:$H$200,7,FALSE),"")</f>
        <v>80318459.25</v>
      </c>
      <c r="L48" s="126">
        <f ca="1">IFERROR(VLOOKUP($A48,Balanse2023!$B$6:$H$200,7,FALSE),"")</f>
        <v>83750128.909999996</v>
      </c>
      <c r="N48" s="98"/>
    </row>
    <row r="49" spans="1:14">
      <c r="A49" t="s">
        <v>41</v>
      </c>
      <c r="B49" t="s">
        <v>42</v>
      </c>
      <c r="I49" s="4">
        <f ca="1">IFERROR(VLOOKUP($A49,Balanse2021!$B$6:$H$200,5,FALSE),"")</f>
        <v>1321341.51</v>
      </c>
      <c r="J49" s="4">
        <f ca="1">IFERROR(VLOOKUP($A49,Balanse2021!$B$6:$H$200,7,FALSE),"")</f>
        <v>32717.659999999916</v>
      </c>
      <c r="K49" s="4">
        <f ca="1">IFERROR(VLOOKUP($A49,Balanse2022!$B$6:$H$200,7,FALSE),"")</f>
        <v>-148963.14000000001</v>
      </c>
      <c r="L49" s="4">
        <f ca="1">IFERROR(VLOOKUP($A49,Balanse2023!$B$6:$H$200,7,FALSE),"")</f>
        <v>-302868.47999999998</v>
      </c>
      <c r="N49" s="98"/>
    </row>
    <row r="50" spans="1:14">
      <c r="A50" t="s">
        <v>43</v>
      </c>
      <c r="B50" t="s">
        <v>44</v>
      </c>
      <c r="I50" s="4">
        <f ca="1">IFERROR(VLOOKUP($A50,Balanse2021!$B$6:$H$200,5,FALSE),"")</f>
        <v>16632279.6</v>
      </c>
      <c r="J50" s="4">
        <f ca="1">IFERROR(VLOOKUP($A50,Balanse2021!$B$6:$H$200,7,FALSE),"")</f>
        <v>4463498.8499999996</v>
      </c>
      <c r="K50" s="4">
        <f ca="1">IFERROR(VLOOKUP($A50,Balanse2022!$B$6:$H$200,7,FALSE),"")</f>
        <v>5158904.6400000006</v>
      </c>
      <c r="L50" s="4">
        <f ca="1">IFERROR(VLOOKUP($A50,Balanse2023!$B$6:$H$200,7,FALSE),"")</f>
        <v>8083318.9100000011</v>
      </c>
      <c r="N50" s="98"/>
    </row>
    <row r="51" spans="1:14">
      <c r="A51" t="s">
        <v>45</v>
      </c>
      <c r="B51" t="s">
        <v>46</v>
      </c>
      <c r="I51" s="126">
        <f ca="1">IFERROR(VLOOKUP($A51,Balanse2021!$B$6:$H$200,5,FALSE),"")</f>
        <v>72294048.900000006</v>
      </c>
      <c r="J51" s="126">
        <f ca="1">IFERROR(VLOOKUP($A51,Balanse2021!$B$6:$H$200,7,FALSE),"")</f>
        <v>75635827.500000015</v>
      </c>
      <c r="K51" s="126">
        <f ca="1">IFERROR(VLOOKUP($A51,Balanse2022!$B$6:$H$200,7,FALSE),"")</f>
        <v>75308517.739999995</v>
      </c>
      <c r="L51" s="126">
        <f ca="1">IFERROR(VLOOKUP($A51,Balanse2023!$B$6:$H$200,7,FALSE),"")</f>
        <v>75969678.469999999</v>
      </c>
      <c r="N51" s="98"/>
    </row>
    <row r="52" spans="1:14">
      <c r="A52">
        <v>2000</v>
      </c>
      <c r="B52" t="s">
        <v>47</v>
      </c>
      <c r="C52" s="127">
        <f ca="1">IFERROR(I52/I$51,"")</f>
        <v>0.35737601314511513</v>
      </c>
      <c r="D52" s="127">
        <f t="shared" ref="D52:F58" ca="1" si="5">IFERROR(J52/J$51,"")</f>
        <v>0.3637215392401173</v>
      </c>
      <c r="E52" s="127">
        <f t="shared" ca="1" si="5"/>
        <v>0.38179919659643008</v>
      </c>
      <c r="F52" s="127">
        <f t="shared" ca="1" si="5"/>
        <v>0.38016464912912512</v>
      </c>
      <c r="I52" s="4">
        <f ca="1">IFERROR(VLOOKUP($A52,Balanse2021!$B$6:$H$200,5,FALSE),"")</f>
        <v>25836158.969999999</v>
      </c>
      <c r="J52" s="4">
        <f ca="1">IFERROR(VLOOKUP($A52,Balanse2021!$B$6:$H$200,7,FALSE),"")</f>
        <v>27510379.599999998</v>
      </c>
      <c r="K52" s="4">
        <f ca="1">IFERROR(VLOOKUP($A52,Balanse2022!$B$6:$H$200,7,FALSE),"")</f>
        <v>28752731.57</v>
      </c>
      <c r="L52" s="4">
        <f ca="1">IFERROR(VLOOKUP($A52,Balanse2023!$B$6:$H$200,7,FALSE),"")</f>
        <v>28880986.16</v>
      </c>
      <c r="N52" s="98"/>
    </row>
    <row r="53" spans="1:14">
      <c r="A53">
        <v>2066</v>
      </c>
      <c r="B53" t="s">
        <v>48</v>
      </c>
      <c r="C53" s="127">
        <f t="shared" ref="C53:C58" ca="1" si="6">IFERROR(I53/I$51,"")</f>
        <v>0.22004114089673013</v>
      </c>
      <c r="D53" s="127">
        <f t="shared" ca="1" si="5"/>
        <v>0.21031917711219589</v>
      </c>
      <c r="E53" s="127">
        <f t="shared" ca="1" si="5"/>
        <v>0.20796794081210926</v>
      </c>
      <c r="F53" s="127">
        <f t="shared" ca="1" si="5"/>
        <v>0.21371647908726499</v>
      </c>
      <c r="I53" s="4">
        <f ca="1">IFERROR(VLOOKUP($A53,Balanse2021!$B$6:$H$200,5,FALSE),"")</f>
        <v>15907665</v>
      </c>
      <c r="J53" s="4">
        <f ca="1">IFERROR(VLOOKUP($A53,Balanse2021!$B$6:$H$200,7,FALSE),"")</f>
        <v>15907665</v>
      </c>
      <c r="K53" s="4">
        <f ca="1">IFERROR(VLOOKUP($A53,Balanse2022!$B$6:$H$200,7,FALSE),"")</f>
        <v>15661757.359999999</v>
      </c>
      <c r="L53" s="4">
        <f ca="1">IFERROR(VLOOKUP($A53,Balanse2023!$B$6:$H$200,7,FALSE),"")</f>
        <v>16235972.199999999</v>
      </c>
      <c r="N53" s="98"/>
    </row>
    <row r="54" spans="1:14">
      <c r="A54">
        <v>2070</v>
      </c>
      <c r="B54" t="s">
        <v>49</v>
      </c>
      <c r="C54" s="127">
        <f t="shared" ca="1" si="6"/>
        <v>0.35595804843626622</v>
      </c>
      <c r="D54" s="127">
        <f t="shared" ca="1" si="5"/>
        <v>0.35001618088993597</v>
      </c>
      <c r="E54" s="127">
        <f t="shared" ca="1" si="5"/>
        <v>0.33791342365623889</v>
      </c>
      <c r="F54" s="127">
        <f t="shared" ca="1" si="5"/>
        <v>0.30656181596446869</v>
      </c>
      <c r="I54" s="4">
        <f ca="1">IFERROR(VLOOKUP($A54,Balanse2021!$B$6:$H$200,5,FALSE),"")</f>
        <v>25733648.559999999</v>
      </c>
      <c r="J54" s="4">
        <f ca="1">IFERROR(VLOOKUP($A54,Balanse2021!$B$6:$H$200,7,FALSE),"")</f>
        <v>26473763.48</v>
      </c>
      <c r="K54" s="4">
        <f ca="1">IFERROR(VLOOKUP($A54,Balanse2022!$B$6:$H$200,7,FALSE),"")</f>
        <v>25447759.059999999</v>
      </c>
      <c r="L54" s="4">
        <f ca="1">IFERROR(VLOOKUP($A54,Balanse2023!$B$6:$H$200,7,FALSE),"")</f>
        <v>23289402.59</v>
      </c>
      <c r="N54" s="98"/>
    </row>
    <row r="55" spans="1:14">
      <c r="A55">
        <v>2071</v>
      </c>
      <c r="B55" t="s">
        <v>32</v>
      </c>
      <c r="C55" s="127">
        <f t="shared" ca="1" si="6"/>
        <v>3.1814513573329546E-2</v>
      </c>
      <c r="D55" s="127">
        <f t="shared" ca="1" si="5"/>
        <v>3.0408869394600059E-2</v>
      </c>
      <c r="E55" s="127">
        <f t="shared" ca="1" si="5"/>
        <v>3.0068917274642407E-2</v>
      </c>
      <c r="F55" s="127">
        <f t="shared" ca="1" si="5"/>
        <v>3.0900066148456872E-2</v>
      </c>
      <c r="I55" s="4">
        <f ca="1">IFERROR(VLOOKUP($A55,Balanse2021!$B$6:$H$200,5,FALSE),"")</f>
        <v>2300000</v>
      </c>
      <c r="J55" s="4">
        <f ca="1">IFERROR(VLOOKUP($A55,Balanse2021!$B$6:$H$200,7,FALSE),"")</f>
        <v>2300000</v>
      </c>
      <c r="K55" s="4">
        <f ca="1">IFERROR(VLOOKUP($A55,Balanse2022!$B$6:$H$200,7,FALSE),"")</f>
        <v>2264445.59</v>
      </c>
      <c r="L55" s="4">
        <f ca="1">IFERROR(VLOOKUP($A55,Balanse2023!$B$6:$H$200,7,FALSE),"")</f>
        <v>2347468.09</v>
      </c>
      <c r="N55" s="98"/>
    </row>
    <row r="56" spans="1:14">
      <c r="A56">
        <v>2072</v>
      </c>
      <c r="B56" t="s">
        <v>33</v>
      </c>
      <c r="C56" s="127">
        <f t="shared" ca="1" si="6"/>
        <v>3.1672202551100988E-2</v>
      </c>
      <c r="D56" s="127">
        <f t="shared" ca="1" si="5"/>
        <v>3.9628341740559382E-2</v>
      </c>
      <c r="E56" s="127">
        <f t="shared" ca="1" si="5"/>
        <v>4.0765696393057174E-2</v>
      </c>
      <c r="F56" s="127">
        <f t="shared" ca="1" si="5"/>
        <v>1.5981113971404174E-2</v>
      </c>
      <c r="I56" s="4">
        <f ca="1">IFERROR(VLOOKUP($A56,Balanse2021!$B$6:$H$200,5,FALSE),"")</f>
        <v>2289711.7599999998</v>
      </c>
      <c r="J56" s="4">
        <f ca="1">IFERROR(VLOOKUP($A56,Balanse2021!$B$6:$H$200,7,FALSE),"")</f>
        <v>2997322.42</v>
      </c>
      <c r="K56" s="4">
        <f ca="1">IFERROR(VLOOKUP($A56,Balanse2022!$B$6:$H$200,7,FALSE),"")</f>
        <v>3070004.17</v>
      </c>
      <c r="L56" s="4">
        <f ca="1">IFERROR(VLOOKUP($A56,Balanse2023!$B$6:$H$200,7,FALSE),"")</f>
        <v>1214080.0899999999</v>
      </c>
      <c r="N56" s="98"/>
    </row>
    <row r="57" spans="1:14">
      <c r="B57" t="s">
        <v>34</v>
      </c>
      <c r="C57" s="129">
        <f ca="1">SUM(C55:C56)</f>
        <v>6.3486716124430534E-2</v>
      </c>
      <c r="D57" s="129">
        <f ca="1">SUM(D55:D56)</f>
        <v>7.0037211135159441E-2</v>
      </c>
      <c r="E57" s="129">
        <f ca="1">SUM(E55:E56)</f>
        <v>7.0834613667699581E-2</v>
      </c>
      <c r="F57" s="129">
        <f ca="1">SUM(F55:F56)</f>
        <v>4.6881180119861046E-2</v>
      </c>
      <c r="G57" s="128"/>
      <c r="H57" s="128"/>
      <c r="I57" s="128">
        <f ca="1">SUM(I55:I56)</f>
        <v>4589711.76</v>
      </c>
      <c r="J57" s="128">
        <f ca="1">SUM(J55:J56)</f>
        <v>5297322.42</v>
      </c>
      <c r="K57" s="128">
        <f ca="1">SUM(K55:K56)</f>
        <v>5334449.76</v>
      </c>
      <c r="L57" s="128">
        <f ca="1">SUM(L55:L56)</f>
        <v>3561548.1799999997</v>
      </c>
      <c r="N57" s="98"/>
    </row>
    <row r="58" spans="1:14">
      <c r="A58">
        <v>2073</v>
      </c>
      <c r="B58" t="s">
        <v>50</v>
      </c>
      <c r="C58" s="127">
        <f t="shared" ca="1" si="6"/>
        <v>3.1380813974578752E-3</v>
      </c>
      <c r="D58" s="127">
        <f t="shared" ca="1" si="5"/>
        <v>5.905891490378682E-3</v>
      </c>
      <c r="E58" s="127">
        <f t="shared" ca="1" si="5"/>
        <v>1.4848252675222552E-3</v>
      </c>
      <c r="F58" s="127">
        <f t="shared" ca="1" si="5"/>
        <v>-2.5989433412959397E-3</v>
      </c>
      <c r="I58" s="4">
        <f ca="1">IFERROR(VLOOKUP($A58,Balanse2021!$B$6:$H$200,5,FALSE),"")</f>
        <v>226864.61</v>
      </c>
      <c r="J58" s="4">
        <f ca="1">IFERROR(VLOOKUP($A58,Balanse2021!$B$6:$H$200,7,FALSE),"")</f>
        <v>446696.99</v>
      </c>
      <c r="K58" s="4">
        <f ca="1">IFERROR(VLOOKUP($A58,Balanse2022!$B$6:$H$200,7,FALSE),"")</f>
        <v>111819.98999999999</v>
      </c>
      <c r="L58" s="4">
        <f ca="1">IFERROR(VLOOKUP($A58,Balanse2023!$B$6:$H$200,7,FALSE),"")</f>
        <v>-197440.89</v>
      </c>
      <c r="N58" s="98"/>
    </row>
  </sheetData>
  <mergeCells count="2">
    <mergeCell ref="C1:G1"/>
    <mergeCell ref="I1:M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2858C-2A19-4B96-9651-3303F0338FC7}">
  <sheetPr>
    <outlinePr summaryBelow="0"/>
    <pageSetUpPr fitToPage="1"/>
  </sheetPr>
  <dimension ref="A1:H103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1.42578125" defaultRowHeight="14.45" outlineLevelRow="2"/>
  <cols>
    <col min="1" max="1" width="1.7109375" customWidth="1"/>
    <col min="2" max="2" width="16.28515625" customWidth="1"/>
    <col min="3" max="3" width="33.5703125" customWidth="1"/>
    <col min="4" max="4" width="5.5703125" hidden="1" customWidth="1"/>
    <col min="5" max="5" width="12.7109375" hidden="1" customWidth="1"/>
    <col min="6" max="8" width="15.7109375" customWidth="1"/>
  </cols>
  <sheetData>
    <row r="1" spans="1:8" ht="9.9499999999999993" customHeight="1">
      <c r="H1" s="6" t="s">
        <v>314</v>
      </c>
    </row>
    <row r="2" spans="1:8" ht="18">
      <c r="A2" s="7"/>
      <c r="B2" s="8" t="s">
        <v>337</v>
      </c>
      <c r="C2" s="7"/>
      <c r="D2" s="7"/>
      <c r="E2" s="7"/>
      <c r="F2" s="7"/>
      <c r="G2" s="7"/>
      <c r="H2" s="9">
        <v>45322.641481481478</v>
      </c>
    </row>
    <row r="3" spans="1:8" ht="15.6">
      <c r="B3" s="101" t="s">
        <v>316</v>
      </c>
    </row>
    <row r="4" spans="1:8" ht="11.25" customHeight="1">
      <c r="C4" s="102"/>
      <c r="D4" s="102"/>
      <c r="E4" s="102"/>
      <c r="F4" s="102"/>
      <c r="G4" s="102"/>
      <c r="H4" s="102"/>
    </row>
    <row r="5" spans="1:8" ht="28.9">
      <c r="B5" s="103" t="str">
        <f>"Periode: "&amp;"202201"&amp;":"&amp;"202212"</f>
        <v>Periode: 202201:202212</v>
      </c>
      <c r="C5" s="104"/>
      <c r="D5" s="104"/>
      <c r="E5" s="104"/>
      <c r="F5" s="105" t="s">
        <v>338</v>
      </c>
      <c r="G5" s="105" t="s">
        <v>339</v>
      </c>
      <c r="H5" s="106" t="s">
        <v>235</v>
      </c>
    </row>
    <row r="6" spans="1:8" ht="11.25" customHeight="1">
      <c r="B6" s="25"/>
      <c r="C6" s="26"/>
      <c r="D6" s="26"/>
      <c r="E6" s="26"/>
      <c r="F6" s="26"/>
      <c r="G6" s="26"/>
      <c r="H6" s="107"/>
    </row>
    <row r="7" spans="1:8">
      <c r="B7" s="23" t="s">
        <v>236</v>
      </c>
      <c r="H7" s="24"/>
    </row>
    <row r="8" spans="1:8" ht="11.25" customHeight="1">
      <c r="B8" s="27"/>
      <c r="H8" s="24"/>
    </row>
    <row r="9" spans="1:8" collapsed="1">
      <c r="B9" s="57" t="s">
        <v>36</v>
      </c>
      <c r="F9" s="108"/>
      <c r="G9" s="108"/>
      <c r="H9" s="109"/>
    </row>
    <row r="10" spans="1:8" hidden="1" outlineLevel="1">
      <c r="B10" s="110" t="str">
        <f>"    "&amp;"Transportmidler, inventar, maskiner o.l."</f>
        <v xml:space="preserve">    Transportmidler, inventar, maskiner o.l.</v>
      </c>
      <c r="F10" s="76">
        <f>IFERROR(SUM(F11),0)</f>
        <v>255875.59</v>
      </c>
      <c r="G10" s="76">
        <f>IFERROR(SUM(G11)," ")</f>
        <v>-116637.22</v>
      </c>
      <c r="H10" s="111">
        <f t="shared" ref="H10:H15" si="0">IFERROR(F10+G10,0)</f>
        <v>139238.37</v>
      </c>
    </row>
    <row r="11" spans="1:8" hidden="1" outlineLevel="2">
      <c r="B11" s="112">
        <v>1250</v>
      </c>
      <c r="C11" s="113" t="s">
        <v>152</v>
      </c>
      <c r="D11" s="113">
        <v>255875.59</v>
      </c>
      <c r="E11" s="113"/>
      <c r="F11" s="114">
        <f>IFERROR(D11+E11,"")</f>
        <v>255875.59</v>
      </c>
      <c r="G11" s="114">
        <v>-116637.22</v>
      </c>
      <c r="H11" s="115">
        <f t="shared" si="0"/>
        <v>139238.37</v>
      </c>
    </row>
    <row r="12" spans="1:8" hidden="1" outlineLevel="1">
      <c r="B12" s="110" t="str">
        <f>"    "&amp;"Finansielle anleggsmidler"</f>
        <v xml:space="preserve">    Finansielle anleggsmidler</v>
      </c>
      <c r="F12" s="76">
        <f>IFERROR(SUM(F13:F15),0)</f>
        <v>5671215</v>
      </c>
      <c r="G12" s="76">
        <f>IFERROR(SUM(G13:G15)," ")</f>
        <v>0</v>
      </c>
      <c r="H12" s="111">
        <f t="shared" si="0"/>
        <v>5671215</v>
      </c>
    </row>
    <row r="13" spans="1:8" hidden="1" outlineLevel="2">
      <c r="B13" s="112">
        <v>1341</v>
      </c>
      <c r="C13" s="113" t="s">
        <v>237</v>
      </c>
      <c r="D13" s="113">
        <v>5000000</v>
      </c>
      <c r="E13" s="113"/>
      <c r="F13" s="114">
        <f>IFERROR(D13+E13,"")</f>
        <v>5000000</v>
      </c>
      <c r="G13" s="114"/>
      <c r="H13" s="115">
        <f t="shared" si="0"/>
        <v>5000000</v>
      </c>
    </row>
    <row r="14" spans="1:8" hidden="1" outlineLevel="2">
      <c r="B14" s="112">
        <v>1352</v>
      </c>
      <c r="C14" s="113" t="s">
        <v>238</v>
      </c>
      <c r="D14" s="113">
        <v>667215</v>
      </c>
      <c r="E14" s="113"/>
      <c r="F14" s="114">
        <f>IFERROR(D14+E14,"")</f>
        <v>667215</v>
      </c>
      <c r="G14" s="114"/>
      <c r="H14" s="115">
        <f t="shared" si="0"/>
        <v>667215</v>
      </c>
    </row>
    <row r="15" spans="1:8" hidden="1" outlineLevel="2">
      <c r="B15" s="112">
        <v>1353</v>
      </c>
      <c r="C15" s="113" t="s">
        <v>239</v>
      </c>
      <c r="D15" s="113">
        <v>4000</v>
      </c>
      <c r="E15" s="113"/>
      <c r="F15" s="114">
        <f>IFERROR(D15+E15,"")</f>
        <v>4000</v>
      </c>
      <c r="G15" s="114"/>
      <c r="H15" s="115">
        <f t="shared" si="0"/>
        <v>4000</v>
      </c>
    </row>
    <row r="16" spans="1:8">
      <c r="B16" s="48" t="str">
        <f>"Sum " &amp; LOWER("Anleggsmidler")</f>
        <v>Sum anleggsmidler</v>
      </c>
      <c r="C16" s="49"/>
      <c r="D16" s="49"/>
      <c r="E16" s="49"/>
      <c r="F16" s="51">
        <f>SUM(F10,F12)</f>
        <v>5927090.5899999999</v>
      </c>
      <c r="G16" s="51">
        <f>SUM(G10,G12)</f>
        <v>-116637.22</v>
      </c>
      <c r="H16" s="116">
        <f>SUM(H10,H12)</f>
        <v>5810453.3700000001</v>
      </c>
    </row>
    <row r="17" spans="2:8" ht="9.75" customHeight="1">
      <c r="B17" s="23"/>
      <c r="C17" s="1"/>
      <c r="D17" s="1"/>
      <c r="E17" s="1"/>
      <c r="F17" s="108"/>
      <c r="G17" s="108"/>
      <c r="H17" s="109"/>
    </row>
    <row r="18" spans="2:8" collapsed="1">
      <c r="B18" s="57" t="s">
        <v>38</v>
      </c>
      <c r="F18" s="108"/>
      <c r="G18" s="108"/>
      <c r="H18" s="109"/>
    </row>
    <row r="19" spans="2:8" hidden="1" outlineLevel="1">
      <c r="B19" s="110" t="str">
        <f>"    "&amp;"Kortsiktige fordringer"</f>
        <v xml:space="preserve">    Kortsiktige fordringer</v>
      </c>
      <c r="F19" s="76">
        <f>IFERROR(SUM(F20:F26),0)</f>
        <v>281303.19</v>
      </c>
      <c r="G19" s="76">
        <f>IFERROR(SUM(G20:G26)," ")</f>
        <v>-27514.909999999993</v>
      </c>
      <c r="H19" s="111">
        <f t="shared" ref="H19:H55" si="1">IFERROR(F19+G19,0)</f>
        <v>253788.28</v>
      </c>
    </row>
    <row r="20" spans="2:8" hidden="1" outlineLevel="2">
      <c r="B20" s="112">
        <v>1500</v>
      </c>
      <c r="C20" s="113" t="s">
        <v>242</v>
      </c>
      <c r="D20" s="113">
        <v>121970</v>
      </c>
      <c r="E20" s="113"/>
      <c r="F20" s="114">
        <f t="shared" ref="F20:F26" si="2">IFERROR(D20+E20,"")</f>
        <v>121970</v>
      </c>
      <c r="G20" s="114">
        <v>-115980</v>
      </c>
      <c r="H20" s="115">
        <f t="shared" si="1"/>
        <v>5990</v>
      </c>
    </row>
    <row r="21" spans="2:8" hidden="1" outlineLevel="2">
      <c r="B21" s="112">
        <v>1506</v>
      </c>
      <c r="C21" s="113" t="s">
        <v>244</v>
      </c>
      <c r="D21" s="113">
        <v>14693.35</v>
      </c>
      <c r="E21" s="113"/>
      <c r="F21" s="114">
        <f t="shared" si="2"/>
        <v>14693.35</v>
      </c>
      <c r="G21" s="114">
        <v>67550.740000000005</v>
      </c>
      <c r="H21" s="115">
        <f t="shared" si="1"/>
        <v>82244.090000000011</v>
      </c>
    </row>
    <row r="22" spans="2:8" hidden="1" outlineLevel="2">
      <c r="B22" s="112">
        <v>1573</v>
      </c>
      <c r="C22" s="113" t="s">
        <v>248</v>
      </c>
      <c r="D22" s="113"/>
      <c r="E22" s="113"/>
      <c r="F22" s="114">
        <f t="shared" si="2"/>
        <v>0</v>
      </c>
      <c r="G22" s="114">
        <v>0</v>
      </c>
      <c r="H22" s="115">
        <f t="shared" si="1"/>
        <v>0</v>
      </c>
    </row>
    <row r="23" spans="2:8" hidden="1" outlineLevel="2">
      <c r="B23" s="112">
        <v>1577</v>
      </c>
      <c r="C23" s="113" t="s">
        <v>251</v>
      </c>
      <c r="D23" s="113">
        <v>-693.99</v>
      </c>
      <c r="E23" s="113"/>
      <c r="F23" s="114">
        <f t="shared" si="2"/>
        <v>-693.99</v>
      </c>
      <c r="G23" s="114">
        <v>693.99</v>
      </c>
      <c r="H23" s="115">
        <f t="shared" si="1"/>
        <v>0</v>
      </c>
    </row>
    <row r="24" spans="2:8" hidden="1" outlineLevel="2">
      <c r="B24" s="112">
        <v>1578</v>
      </c>
      <c r="C24" s="113" t="s">
        <v>252</v>
      </c>
      <c r="D24" s="113">
        <v>122432.35</v>
      </c>
      <c r="E24" s="113"/>
      <c r="F24" s="114">
        <f t="shared" si="2"/>
        <v>122432.35</v>
      </c>
      <c r="G24" s="114">
        <v>-17781.16</v>
      </c>
      <c r="H24" s="115">
        <f t="shared" si="1"/>
        <v>104651.19</v>
      </c>
    </row>
    <row r="25" spans="2:8" hidden="1" outlineLevel="2">
      <c r="B25" s="112">
        <v>1579</v>
      </c>
      <c r="C25" s="113" t="s">
        <v>253</v>
      </c>
      <c r="D25" s="113"/>
      <c r="E25" s="113"/>
      <c r="F25" s="114">
        <f t="shared" si="2"/>
        <v>0</v>
      </c>
      <c r="G25" s="114">
        <v>27270</v>
      </c>
      <c r="H25" s="115">
        <f t="shared" si="1"/>
        <v>27270</v>
      </c>
    </row>
    <row r="26" spans="2:8" hidden="1" outlineLevel="2">
      <c r="B26" s="112">
        <v>2998</v>
      </c>
      <c r="C26" s="113" t="s">
        <v>254</v>
      </c>
      <c r="D26" s="113">
        <v>22901.48</v>
      </c>
      <c r="E26" s="113"/>
      <c r="F26" s="114">
        <f t="shared" si="2"/>
        <v>22901.48</v>
      </c>
      <c r="G26" s="114">
        <v>10731.52</v>
      </c>
      <c r="H26" s="115">
        <f t="shared" si="1"/>
        <v>33633</v>
      </c>
    </row>
    <row r="27" spans="2:8" hidden="1" outlineLevel="1">
      <c r="B27" s="110" t="str">
        <f>"    "&amp;"Forskuddsbetalt kostnad, påløpt inntekt o.l."</f>
        <v xml:space="preserve">    Forskuddsbetalt kostnad, påløpt inntekt o.l.</v>
      </c>
      <c r="F27" s="76">
        <f>IFERROR(SUM(F28:F33),0)</f>
        <v>64668.99</v>
      </c>
      <c r="G27" s="76">
        <f>IFERROR(SUM(G28:G33)," ")</f>
        <v>516452.56000000006</v>
      </c>
      <c r="H27" s="111">
        <f t="shared" si="1"/>
        <v>581121.55000000005</v>
      </c>
    </row>
    <row r="28" spans="2:8" hidden="1" outlineLevel="2">
      <c r="B28" s="112">
        <v>1742</v>
      </c>
      <c r="C28" s="113" t="s">
        <v>256</v>
      </c>
      <c r="D28" s="113"/>
      <c r="E28" s="113"/>
      <c r="F28" s="114">
        <f t="shared" ref="F28:F33" si="3">IFERROR(D28+E28,"")</f>
        <v>0</v>
      </c>
      <c r="G28" s="114">
        <v>210264</v>
      </c>
      <c r="H28" s="115">
        <f t="shared" si="1"/>
        <v>210264</v>
      </c>
    </row>
    <row r="29" spans="2:8" hidden="1" outlineLevel="2">
      <c r="B29" s="112">
        <v>1749</v>
      </c>
      <c r="C29" s="113" t="s">
        <v>257</v>
      </c>
      <c r="D29" s="113">
        <v>46668.99</v>
      </c>
      <c r="E29" s="113"/>
      <c r="F29" s="114">
        <f t="shared" si="3"/>
        <v>46668.99</v>
      </c>
      <c r="G29" s="114">
        <v>321978.56</v>
      </c>
      <c r="H29" s="115">
        <f t="shared" si="1"/>
        <v>368647.55</v>
      </c>
    </row>
    <row r="30" spans="2:8" hidden="1" outlineLevel="2">
      <c r="B30" s="112">
        <v>1751</v>
      </c>
      <c r="C30" s="113" t="s">
        <v>258</v>
      </c>
      <c r="D30" s="113"/>
      <c r="E30" s="113"/>
      <c r="F30" s="114">
        <f t="shared" si="3"/>
        <v>0</v>
      </c>
      <c r="G30" s="114">
        <v>0</v>
      </c>
      <c r="H30" s="115">
        <f t="shared" si="1"/>
        <v>0</v>
      </c>
    </row>
    <row r="31" spans="2:8" hidden="1" outlineLevel="2">
      <c r="B31" s="112">
        <v>1790</v>
      </c>
      <c r="C31" s="113" t="s">
        <v>259</v>
      </c>
      <c r="D31" s="113">
        <v>18000</v>
      </c>
      <c r="E31" s="113"/>
      <c r="F31" s="114">
        <f t="shared" si="3"/>
        <v>18000</v>
      </c>
      <c r="G31" s="114">
        <v>-17990</v>
      </c>
      <c r="H31" s="115">
        <f t="shared" si="1"/>
        <v>10</v>
      </c>
    </row>
    <row r="32" spans="2:8" hidden="1" outlineLevel="2">
      <c r="B32" s="112">
        <v>1791</v>
      </c>
      <c r="C32" s="113" t="s">
        <v>260</v>
      </c>
      <c r="D32" s="113"/>
      <c r="E32" s="113"/>
      <c r="F32" s="114">
        <f t="shared" si="3"/>
        <v>0</v>
      </c>
      <c r="G32" s="114">
        <v>2200</v>
      </c>
      <c r="H32" s="115">
        <f t="shared" si="1"/>
        <v>2200</v>
      </c>
    </row>
    <row r="33" spans="2:8" hidden="1" outlineLevel="2">
      <c r="B33" s="112">
        <v>1799</v>
      </c>
      <c r="C33" s="113" t="s">
        <v>261</v>
      </c>
      <c r="D33" s="113"/>
      <c r="E33" s="113"/>
      <c r="F33" s="114">
        <f t="shared" si="3"/>
        <v>0</v>
      </c>
      <c r="G33" s="114">
        <v>0</v>
      </c>
      <c r="H33" s="115">
        <f t="shared" si="1"/>
        <v>0</v>
      </c>
    </row>
    <row r="34" spans="2:8" hidden="1" outlineLevel="1">
      <c r="B34" s="110" t="str">
        <f>"    "&amp;"Kortsiktige finansinvesteringer"</f>
        <v xml:space="preserve">    Kortsiktige finansinvesteringer</v>
      </c>
      <c r="F34" s="76">
        <f>IFERROR(SUM(F35),0)</f>
        <v>39203964.869999997</v>
      </c>
      <c r="G34" s="76">
        <f>IFERROR(SUM(G35)," ")</f>
        <v>-1169211.7</v>
      </c>
      <c r="H34" s="111">
        <f t="shared" si="1"/>
        <v>38034753.169999994</v>
      </c>
    </row>
    <row r="35" spans="2:8" hidden="1" outlineLevel="2">
      <c r="B35" s="112">
        <v>1830</v>
      </c>
      <c r="C35" s="113" t="s">
        <v>262</v>
      </c>
      <c r="D35" s="113">
        <v>39203964.869999997</v>
      </c>
      <c r="E35" s="113"/>
      <c r="F35" s="114">
        <f>IFERROR(D35+E35,"")</f>
        <v>39203964.869999997</v>
      </c>
      <c r="G35" s="114">
        <v>-1169211.7</v>
      </c>
      <c r="H35" s="115">
        <f t="shared" si="1"/>
        <v>38034753.169999994</v>
      </c>
    </row>
    <row r="36" spans="2:8" hidden="1" outlineLevel="1">
      <c r="B36" s="110" t="str">
        <f>"    "&amp;"Kontanter, bankinnskudd o.l."</f>
        <v xml:space="preserve">    Kontanter, bankinnskudd o.l.</v>
      </c>
      <c r="F36" s="76">
        <f>IFERROR(SUM(F37:F55),0)</f>
        <v>34655016.369999997</v>
      </c>
      <c r="G36" s="76">
        <f>IFERROR(SUM(G37:G55)," ")</f>
        <v>983326.50999999989</v>
      </c>
      <c r="H36" s="111">
        <f t="shared" si="1"/>
        <v>35638342.879999995</v>
      </c>
    </row>
    <row r="37" spans="2:8" hidden="1" outlineLevel="2">
      <c r="B37" s="112">
        <v>1322</v>
      </c>
      <c r="C37" s="113" t="s">
        <v>264</v>
      </c>
      <c r="D37" s="113">
        <v>372485</v>
      </c>
      <c r="E37" s="113"/>
      <c r="F37" s="114">
        <f t="shared" ref="F37:F55" si="4">IFERROR(D37+E37,"")</f>
        <v>372485</v>
      </c>
      <c r="G37" s="114">
        <v>44494</v>
      </c>
      <c r="H37" s="115">
        <f t="shared" si="1"/>
        <v>416979</v>
      </c>
    </row>
    <row r="38" spans="2:8" hidden="1" outlineLevel="2">
      <c r="B38" s="112">
        <v>1900</v>
      </c>
      <c r="C38" s="113" t="s">
        <v>265</v>
      </c>
      <c r="D38" s="113">
        <v>4215</v>
      </c>
      <c r="E38" s="113"/>
      <c r="F38" s="114">
        <f t="shared" si="4"/>
        <v>4215</v>
      </c>
      <c r="G38" s="114">
        <v>0</v>
      </c>
      <c r="H38" s="115">
        <f t="shared" si="1"/>
        <v>4215</v>
      </c>
    </row>
    <row r="39" spans="2:8" hidden="1" outlineLevel="2">
      <c r="B39" s="112">
        <v>1903</v>
      </c>
      <c r="C39" s="113" t="s">
        <v>267</v>
      </c>
      <c r="D39" s="113">
        <v>89.66</v>
      </c>
      <c r="E39" s="113"/>
      <c r="F39" s="114">
        <f t="shared" si="4"/>
        <v>89.66</v>
      </c>
      <c r="G39" s="114">
        <v>2844.78</v>
      </c>
      <c r="H39" s="115">
        <f t="shared" si="1"/>
        <v>2934.44</v>
      </c>
    </row>
    <row r="40" spans="2:8" hidden="1" outlineLevel="2">
      <c r="B40" s="112">
        <v>1920</v>
      </c>
      <c r="C40" s="113" t="s">
        <v>269</v>
      </c>
      <c r="D40" s="113">
        <v>4801187.41</v>
      </c>
      <c r="E40" s="113"/>
      <c r="F40" s="114">
        <f t="shared" si="4"/>
        <v>4801187.41</v>
      </c>
      <c r="G40" s="114">
        <v>-69313.56</v>
      </c>
      <c r="H40" s="115">
        <f t="shared" si="1"/>
        <v>4731873.8500000006</v>
      </c>
    </row>
    <row r="41" spans="2:8" hidden="1" outlineLevel="2">
      <c r="B41" s="112">
        <v>1921</v>
      </c>
      <c r="C41" s="113" t="s">
        <v>270</v>
      </c>
      <c r="D41" s="113">
        <v>97614.39</v>
      </c>
      <c r="E41" s="113"/>
      <c r="F41" s="114">
        <f t="shared" si="4"/>
        <v>97614.39</v>
      </c>
      <c r="G41" s="114">
        <v>4232.9799999999996</v>
      </c>
      <c r="H41" s="115">
        <f t="shared" si="1"/>
        <v>101847.37</v>
      </c>
    </row>
    <row r="42" spans="2:8" hidden="1" outlineLevel="2">
      <c r="B42" s="112">
        <v>1922</v>
      </c>
      <c r="C42" s="113" t="s">
        <v>271</v>
      </c>
      <c r="D42" s="113">
        <v>6034.99</v>
      </c>
      <c r="E42" s="113"/>
      <c r="F42" s="114">
        <f t="shared" si="4"/>
        <v>6034.99</v>
      </c>
      <c r="G42" s="114">
        <v>-556.16999999999996</v>
      </c>
      <c r="H42" s="115">
        <f t="shared" si="1"/>
        <v>5478.82</v>
      </c>
    </row>
    <row r="43" spans="2:8" hidden="1" outlineLevel="2">
      <c r="B43" s="112">
        <v>1923</v>
      </c>
      <c r="C43" s="113" t="s">
        <v>272</v>
      </c>
      <c r="D43" s="113">
        <v>12107933.01</v>
      </c>
      <c r="E43" s="113"/>
      <c r="F43" s="114">
        <f t="shared" si="4"/>
        <v>12107933.01</v>
      </c>
      <c r="G43" s="114">
        <v>158698.01</v>
      </c>
      <c r="H43" s="115">
        <f t="shared" si="1"/>
        <v>12266631.02</v>
      </c>
    </row>
    <row r="44" spans="2:8" hidden="1" outlineLevel="2">
      <c r="B44" s="112">
        <v>1925</v>
      </c>
      <c r="C44" s="113" t="s">
        <v>273</v>
      </c>
      <c r="D44" s="113">
        <v>65800.78</v>
      </c>
      <c r="E44" s="113"/>
      <c r="F44" s="114">
        <f t="shared" si="4"/>
        <v>65800.78</v>
      </c>
      <c r="G44" s="114">
        <v>553995.88</v>
      </c>
      <c r="H44" s="115">
        <f t="shared" si="1"/>
        <v>619796.66</v>
      </c>
    </row>
    <row r="45" spans="2:8" hidden="1" outlineLevel="2">
      <c r="B45" s="112">
        <v>1926</v>
      </c>
      <c r="C45" s="113" t="s">
        <v>274</v>
      </c>
      <c r="D45" s="113">
        <v>3677.64</v>
      </c>
      <c r="E45" s="113"/>
      <c r="F45" s="114">
        <f t="shared" si="4"/>
        <v>3677.64</v>
      </c>
      <c r="G45" s="114">
        <v>48.21</v>
      </c>
      <c r="H45" s="115">
        <f t="shared" si="1"/>
        <v>3725.85</v>
      </c>
    </row>
    <row r="46" spans="2:8" hidden="1" outlineLevel="2">
      <c r="B46" s="112">
        <v>1927</v>
      </c>
      <c r="C46" s="113" t="s">
        <v>275</v>
      </c>
      <c r="D46" s="113">
        <v>771774.74</v>
      </c>
      <c r="E46" s="113"/>
      <c r="F46" s="114">
        <f t="shared" si="4"/>
        <v>771774.74</v>
      </c>
      <c r="G46" s="114">
        <v>179185.8</v>
      </c>
      <c r="H46" s="115">
        <f t="shared" si="1"/>
        <v>950960.54</v>
      </c>
    </row>
    <row r="47" spans="2:8" hidden="1" outlineLevel="2">
      <c r="B47" s="112">
        <v>1928</v>
      </c>
      <c r="C47" s="113" t="s">
        <v>276</v>
      </c>
      <c r="D47" s="113">
        <v>228295.66</v>
      </c>
      <c r="E47" s="113"/>
      <c r="F47" s="114">
        <f t="shared" si="4"/>
        <v>228295.66</v>
      </c>
      <c r="G47" s="114">
        <v>22593.25</v>
      </c>
      <c r="H47" s="115">
        <f t="shared" si="1"/>
        <v>250888.91</v>
      </c>
    </row>
    <row r="48" spans="2:8" hidden="1" outlineLevel="2">
      <c r="B48" s="112">
        <v>1934</v>
      </c>
      <c r="C48" s="113" t="s">
        <v>277</v>
      </c>
      <c r="D48" s="113">
        <v>465.56</v>
      </c>
      <c r="E48" s="113"/>
      <c r="F48" s="114">
        <f t="shared" si="4"/>
        <v>465.56</v>
      </c>
      <c r="G48" s="114">
        <v>6.11</v>
      </c>
      <c r="H48" s="115">
        <f t="shared" si="1"/>
        <v>471.67</v>
      </c>
    </row>
    <row r="49" spans="2:8" hidden="1" outlineLevel="2">
      <c r="B49" s="112">
        <v>1936</v>
      </c>
      <c r="C49" s="113" t="s">
        <v>278</v>
      </c>
      <c r="D49" s="113">
        <v>4443451.72</v>
      </c>
      <c r="E49" s="113"/>
      <c r="F49" s="114">
        <f t="shared" si="4"/>
        <v>4443451.72</v>
      </c>
      <c r="G49" s="114">
        <v>-159383.44</v>
      </c>
      <c r="H49" s="115">
        <f t="shared" si="1"/>
        <v>4284068.2799999993</v>
      </c>
    </row>
    <row r="50" spans="2:8" hidden="1" outlineLevel="2">
      <c r="B50" s="112">
        <v>1937</v>
      </c>
      <c r="C50" s="113" t="s">
        <v>279</v>
      </c>
      <c r="D50" s="113">
        <v>11137462.300000001</v>
      </c>
      <c r="E50" s="113"/>
      <c r="F50" s="114">
        <f t="shared" si="4"/>
        <v>11137462.300000001</v>
      </c>
      <c r="G50" s="114">
        <v>220360.88</v>
      </c>
      <c r="H50" s="115">
        <f t="shared" si="1"/>
        <v>11357823.180000002</v>
      </c>
    </row>
    <row r="51" spans="2:8" hidden="1" outlineLevel="2">
      <c r="B51" s="112">
        <v>1945</v>
      </c>
      <c r="C51" s="113" t="s">
        <v>281</v>
      </c>
      <c r="D51" s="113"/>
      <c r="E51" s="113"/>
      <c r="F51" s="114">
        <f t="shared" si="4"/>
        <v>0</v>
      </c>
      <c r="G51" s="114">
        <v>0</v>
      </c>
      <c r="H51" s="115">
        <f t="shared" si="1"/>
        <v>0</v>
      </c>
    </row>
    <row r="52" spans="2:8" hidden="1" outlineLevel="2">
      <c r="B52" s="112">
        <v>1946</v>
      </c>
      <c r="C52" s="113" t="s">
        <v>282</v>
      </c>
      <c r="D52" s="113">
        <v>27146.98</v>
      </c>
      <c r="E52" s="113"/>
      <c r="F52" s="114">
        <f t="shared" si="4"/>
        <v>27146.98</v>
      </c>
      <c r="G52" s="114">
        <v>46772.77</v>
      </c>
      <c r="H52" s="115">
        <f t="shared" si="1"/>
        <v>73919.75</v>
      </c>
    </row>
    <row r="53" spans="2:8" hidden="1" outlineLevel="2">
      <c r="B53" s="112">
        <v>1947</v>
      </c>
      <c r="C53" s="113" t="s">
        <v>283</v>
      </c>
      <c r="D53" s="113">
        <v>30714.959999999999</v>
      </c>
      <c r="E53" s="113"/>
      <c r="F53" s="114">
        <f t="shared" si="4"/>
        <v>30714.959999999999</v>
      </c>
      <c r="G53" s="114">
        <v>402.58</v>
      </c>
      <c r="H53" s="115">
        <f t="shared" si="1"/>
        <v>31117.54</v>
      </c>
    </row>
    <row r="54" spans="2:8" hidden="1" outlineLevel="2">
      <c r="B54" s="112">
        <v>1950</v>
      </c>
      <c r="C54" s="113" t="s">
        <v>284</v>
      </c>
      <c r="D54" s="113">
        <v>555305</v>
      </c>
      <c r="E54" s="113"/>
      <c r="F54" s="114">
        <f t="shared" si="4"/>
        <v>555305</v>
      </c>
      <c r="G54" s="114">
        <v>-19694</v>
      </c>
      <c r="H54" s="115">
        <f t="shared" si="1"/>
        <v>535611</v>
      </c>
    </row>
    <row r="55" spans="2:8" hidden="1" outlineLevel="2">
      <c r="B55" s="112">
        <v>1970</v>
      </c>
      <c r="C55" s="113" t="s">
        <v>285</v>
      </c>
      <c r="D55" s="113">
        <v>1361.57</v>
      </c>
      <c r="E55" s="113"/>
      <c r="F55" s="114">
        <f t="shared" si="4"/>
        <v>1361.57</v>
      </c>
      <c r="G55" s="114">
        <v>-1361.57</v>
      </c>
      <c r="H55" s="115">
        <f t="shared" si="1"/>
        <v>0</v>
      </c>
    </row>
    <row r="56" spans="2:8">
      <c r="B56" s="48" t="str">
        <f>"Sum " &amp; LOWER("Omløpsmidler")</f>
        <v>Sum omløpsmidler</v>
      </c>
      <c r="C56" s="49"/>
      <c r="D56" s="49"/>
      <c r="E56" s="49"/>
      <c r="F56" s="51">
        <f ca="1">SUM(OSRRefF10_1x_0)</f>
        <v>74204953.419999987</v>
      </c>
      <c r="G56" s="51">
        <f ca="1">SUM(OSRRefG10_1x_0)</f>
        <v>303052.46000000008</v>
      </c>
      <c r="H56" s="116">
        <f ca="1">SUM(OSRRefH10_1x_0)</f>
        <v>74508005.879999995</v>
      </c>
    </row>
    <row r="57" spans="2:8" ht="9.75" customHeight="1">
      <c r="B57" s="23"/>
      <c r="C57" s="1"/>
      <c r="D57" s="1"/>
      <c r="E57" s="1"/>
      <c r="F57" s="108"/>
      <c r="G57" s="108"/>
      <c r="H57" s="109"/>
    </row>
    <row r="58" spans="2:8">
      <c r="B58" s="117" t="s">
        <v>39</v>
      </c>
      <c r="C58" s="118"/>
      <c r="D58" s="118"/>
      <c r="E58" s="118"/>
      <c r="F58" s="119">
        <f ca="1">SUM(F16,F56)</f>
        <v>80132044.00999999</v>
      </c>
      <c r="G58" s="119">
        <f ca="1">SUM(G16,G56)</f>
        <v>186415.24000000008</v>
      </c>
      <c r="H58" s="120">
        <f ca="1">SUM(H16,H56)</f>
        <v>80318459.25</v>
      </c>
    </row>
    <row r="59" spans="2:8" ht="11.25" customHeight="1">
      <c r="B59" s="27"/>
      <c r="F59" s="76"/>
      <c r="G59" s="76"/>
      <c r="H59" s="121"/>
    </row>
    <row r="60" spans="2:8">
      <c r="B60" s="23" t="s">
        <v>287</v>
      </c>
      <c r="F60" s="76"/>
      <c r="G60" s="76"/>
      <c r="H60" s="121"/>
    </row>
    <row r="61" spans="2:8" ht="11.25" customHeight="1">
      <c r="B61" s="23"/>
      <c r="F61" s="76"/>
      <c r="G61" s="76"/>
      <c r="H61" s="121"/>
    </row>
    <row r="62" spans="2:8" collapsed="1">
      <c r="B62" s="57" t="s">
        <v>47</v>
      </c>
      <c r="F62" s="108"/>
      <c r="G62" s="108"/>
      <c r="H62" s="109"/>
    </row>
    <row r="63" spans="2:8" hidden="1" outlineLevel="1">
      <c r="B63" s="110" t="str">
        <f>"    "&amp;"Egenkapital"</f>
        <v xml:space="preserve">    Egenkapital</v>
      </c>
      <c r="F63" s="76">
        <f>IFERROR(SUM(F64:F69),0)</f>
        <v>75635827.489999995</v>
      </c>
      <c r="G63" s="76">
        <f>IFERROR(SUM(G64:G69),0)</f>
        <v>-327309.75000000012</v>
      </c>
      <c r="H63" s="111">
        <f t="shared" ref="H63:H69" si="5">IFERROR(F63+G63,0)</f>
        <v>75308517.739999995</v>
      </c>
    </row>
    <row r="64" spans="2:8" hidden="1" outlineLevel="2">
      <c r="B64" s="112">
        <v>2000</v>
      </c>
      <c r="C64" s="113" t="s">
        <v>47</v>
      </c>
      <c r="D64" s="113">
        <f>-N(-27510379.6)</f>
        <v>27510379.600000001</v>
      </c>
      <c r="E64" s="113">
        <f t="shared" ref="E64:E69" si="6">-N(0)</f>
        <v>0</v>
      </c>
      <c r="F64" s="114">
        <f t="shared" ref="F64:F69" si="7">IFERROR(D64+E64,"")</f>
        <v>27510379.600000001</v>
      </c>
      <c r="G64" s="114">
        <f>IFERROR(--1242351.97,0)</f>
        <v>1242351.97</v>
      </c>
      <c r="H64" s="115">
        <f t="shared" si="5"/>
        <v>28752731.57</v>
      </c>
    </row>
    <row r="65" spans="2:8" hidden="1" outlineLevel="2">
      <c r="B65" s="112">
        <v>2066</v>
      </c>
      <c r="C65" s="113" t="s">
        <v>48</v>
      </c>
      <c r="D65" s="113">
        <f>-N(-15907665)</f>
        <v>15907665</v>
      </c>
      <c r="E65" s="113">
        <f t="shared" si="6"/>
        <v>0</v>
      </c>
      <c r="F65" s="114">
        <f t="shared" si="7"/>
        <v>15907665</v>
      </c>
      <c r="G65" s="114">
        <f>IFERROR(-245907.64,0)</f>
        <v>-245907.64</v>
      </c>
      <c r="H65" s="115">
        <f t="shared" si="5"/>
        <v>15661757.359999999</v>
      </c>
    </row>
    <row r="66" spans="2:8" hidden="1" outlineLevel="2">
      <c r="B66" s="112">
        <v>2070</v>
      </c>
      <c r="C66" s="113" t="s">
        <v>49</v>
      </c>
      <c r="D66" s="113">
        <f>-N(-26473763.48)</f>
        <v>26473763.48</v>
      </c>
      <c r="E66" s="113">
        <f t="shared" si="6"/>
        <v>0</v>
      </c>
      <c r="F66" s="114">
        <f t="shared" si="7"/>
        <v>26473763.48</v>
      </c>
      <c r="G66" s="114">
        <f>IFERROR(-1026004.42,0)</f>
        <v>-1026004.42</v>
      </c>
      <c r="H66" s="115">
        <f t="shared" si="5"/>
        <v>25447759.059999999</v>
      </c>
    </row>
    <row r="67" spans="2:8" hidden="1" outlineLevel="2">
      <c r="B67" s="112">
        <v>2071</v>
      </c>
      <c r="C67" s="113" t="s">
        <v>32</v>
      </c>
      <c r="D67" s="113">
        <f>-N(-2300000)</f>
        <v>2300000</v>
      </c>
      <c r="E67" s="113">
        <f t="shared" si="6"/>
        <v>0</v>
      </c>
      <c r="F67" s="114">
        <f t="shared" si="7"/>
        <v>2300000</v>
      </c>
      <c r="G67" s="114">
        <f>IFERROR(-35554.41,0)</f>
        <v>-35554.410000000003</v>
      </c>
      <c r="H67" s="115">
        <f t="shared" si="5"/>
        <v>2264445.59</v>
      </c>
    </row>
    <row r="68" spans="2:8" hidden="1" outlineLevel="2">
      <c r="B68" s="112">
        <v>2072</v>
      </c>
      <c r="C68" s="113" t="s">
        <v>33</v>
      </c>
      <c r="D68" s="113">
        <f>-N(-2997322.42)</f>
        <v>2997322.42</v>
      </c>
      <c r="E68" s="113">
        <f t="shared" si="6"/>
        <v>0</v>
      </c>
      <c r="F68" s="114">
        <f t="shared" si="7"/>
        <v>2997322.42</v>
      </c>
      <c r="G68" s="114">
        <f>IFERROR(--72681.75,0)</f>
        <v>72681.75</v>
      </c>
      <c r="H68" s="115">
        <f t="shared" si="5"/>
        <v>3070004.17</v>
      </c>
    </row>
    <row r="69" spans="2:8" hidden="1" outlineLevel="2">
      <c r="B69" s="112">
        <v>2073</v>
      </c>
      <c r="C69" s="113" t="s">
        <v>50</v>
      </c>
      <c r="D69" s="113">
        <f>-N(-446696.99)</f>
        <v>446696.99</v>
      </c>
      <c r="E69" s="113">
        <f t="shared" si="6"/>
        <v>0</v>
      </c>
      <c r="F69" s="114">
        <f t="shared" si="7"/>
        <v>446696.99</v>
      </c>
      <c r="G69" s="114">
        <f>IFERROR(-334877,0)</f>
        <v>-334877</v>
      </c>
      <c r="H69" s="115">
        <f t="shared" si="5"/>
        <v>111819.98999999999</v>
      </c>
    </row>
    <row r="70" spans="2:8">
      <c r="B70" s="122" t="s">
        <v>291</v>
      </c>
      <c r="C70" s="113"/>
      <c r="D70" s="113"/>
      <c r="E70" s="113">
        <f>-N(0)</f>
        <v>0</v>
      </c>
      <c r="F70" s="114">
        <f>IFERROR(D70+E70,"")</f>
        <v>0</v>
      </c>
      <c r="G70" s="114">
        <f>IFERROR(0,0)</f>
        <v>0</v>
      </c>
      <c r="H70" s="115">
        <f>IFERROR(F70+G70,0)</f>
        <v>0</v>
      </c>
    </row>
    <row r="71" spans="2:8">
      <c r="B71" s="48" t="str">
        <f>"Sum " &amp; LOWER("Egenkapital")</f>
        <v>Sum egenkapital</v>
      </c>
      <c r="C71" s="49"/>
      <c r="D71" s="49"/>
      <c r="E71" s="49"/>
      <c r="F71" s="123">
        <f>SUM(F63)+SUM(F70)</f>
        <v>75635827.489999995</v>
      </c>
      <c r="G71" s="123">
        <f>SUM(G63)+SUM(G70)</f>
        <v>-327309.75000000012</v>
      </c>
      <c r="H71" s="116">
        <f>SUM(H63)+SUM(H70)</f>
        <v>75308517.739999995</v>
      </c>
    </row>
    <row r="72" spans="2:8" ht="9.75" customHeight="1">
      <c r="B72" s="23"/>
      <c r="C72" s="1"/>
      <c r="D72" s="1"/>
      <c r="E72" s="1"/>
      <c r="F72" s="108"/>
      <c r="G72" s="108"/>
      <c r="H72" s="109"/>
    </row>
    <row r="73" spans="2:8" collapsed="1">
      <c r="B73" s="57" t="s">
        <v>292</v>
      </c>
      <c r="F73" s="108"/>
      <c r="G73" s="108"/>
      <c r="H73" s="109"/>
    </row>
    <row r="74" spans="2:8" hidden="1" outlineLevel="1">
      <c r="B74" s="110" t="str">
        <f>"    "&amp;"Avsetning for forpliktelser"</f>
        <v xml:space="preserve">    Avsetning for forpliktelser</v>
      </c>
      <c r="F74" s="76">
        <f>IFERROR(SUM(F75:F77),0)</f>
        <v>32717.659999999989</v>
      </c>
      <c r="G74" s="76">
        <f>IFERROR(SUM(G75:G77),0)</f>
        <v>-181680.80000000002</v>
      </c>
      <c r="H74" s="111">
        <f>IFERROR(F74+G74,0)</f>
        <v>-148963.14000000001</v>
      </c>
    </row>
    <row r="75" spans="2:8" hidden="1" outlineLevel="2">
      <c r="B75" s="112">
        <v>2100</v>
      </c>
      <c r="C75" s="113" t="s">
        <v>293</v>
      </c>
      <c r="D75" s="113">
        <f>-N(-1049746)</f>
        <v>1049746</v>
      </c>
      <c r="E75" s="113">
        <f>-N(0)</f>
        <v>0</v>
      </c>
      <c r="F75" s="114">
        <f>IFERROR(D75+E75,"")</f>
        <v>1049746</v>
      </c>
      <c r="G75" s="114">
        <f>IFERROR(-231578,0)</f>
        <v>-231578</v>
      </c>
      <c r="H75" s="115">
        <f>IFERROR(F75+G75,0)</f>
        <v>818168</v>
      </c>
    </row>
    <row r="76" spans="2:8" hidden="1" outlineLevel="2">
      <c r="B76" s="112">
        <v>2101</v>
      </c>
      <c r="C76" s="113" t="s">
        <v>294</v>
      </c>
      <c r="D76" s="113">
        <f>-N(908003.76)</f>
        <v>-908003.76</v>
      </c>
      <c r="E76" s="113">
        <f>-N(0)</f>
        <v>0</v>
      </c>
      <c r="F76" s="114">
        <f>IFERROR(D76+E76,"")</f>
        <v>-908003.76</v>
      </c>
      <c r="G76" s="114">
        <f>IFERROR(-207060.77,0)</f>
        <v>-207060.77</v>
      </c>
      <c r="H76" s="115">
        <f>IFERROR(F76+G76,0)</f>
        <v>-1115064.53</v>
      </c>
    </row>
    <row r="77" spans="2:8" hidden="1" outlineLevel="2">
      <c r="B77" s="112">
        <v>2102</v>
      </c>
      <c r="C77" s="113" t="s">
        <v>295</v>
      </c>
      <c r="D77" s="113">
        <f>-N(109024.58)</f>
        <v>-109024.58</v>
      </c>
      <c r="E77" s="113">
        <f>-N(0)</f>
        <v>0</v>
      </c>
      <c r="F77" s="114">
        <f>IFERROR(D77+E77,"")</f>
        <v>-109024.58</v>
      </c>
      <c r="G77" s="114">
        <f>IFERROR(--256957.97,0)</f>
        <v>256957.97</v>
      </c>
      <c r="H77" s="115">
        <f>IFERROR(F77+G77,0)</f>
        <v>147933.39000000001</v>
      </c>
    </row>
    <row r="78" spans="2:8">
      <c r="B78" s="48" t="str">
        <f>"Sum " &amp; LOWER("Avsetning for forpliktelser")</f>
        <v>Sum avsetning for forpliktelser</v>
      </c>
      <c r="C78" s="49"/>
      <c r="D78" s="49"/>
      <c r="E78" s="49"/>
      <c r="F78" s="51">
        <f>SUM(F74)</f>
        <v>32717.659999999989</v>
      </c>
      <c r="G78" s="51">
        <f>SUM(G74)</f>
        <v>-181680.80000000002</v>
      </c>
      <c r="H78" s="116">
        <f>SUM(H74)</f>
        <v>-148963.14000000001</v>
      </c>
    </row>
    <row r="79" spans="2:8" ht="15" customHeight="1">
      <c r="B79" s="23"/>
      <c r="C79" s="1"/>
      <c r="D79" s="1"/>
      <c r="E79" s="1"/>
      <c r="F79" s="108"/>
      <c r="G79" s="108"/>
      <c r="H79" s="109"/>
    </row>
    <row r="80" spans="2:8" collapsed="1">
      <c r="B80" s="57" t="s">
        <v>296</v>
      </c>
      <c r="F80" s="108"/>
      <c r="G80" s="108"/>
      <c r="H80" s="109"/>
    </row>
    <row r="81" spans="2:8" hidden="1" outlineLevel="1">
      <c r="B81" s="110" t="str">
        <f>"    "&amp;"Leverandørgjeld"</f>
        <v xml:space="preserve">    Leverandørgjeld</v>
      </c>
      <c r="F81" s="76">
        <f>IFERROR(SUM(F82:F83),0)</f>
        <v>994199.41</v>
      </c>
      <c r="G81" s="76">
        <f>IFERROR(SUM(G82:G83),0)</f>
        <v>122655.7</v>
      </c>
      <c r="H81" s="111">
        <f t="shared" ref="H81:H98" si="8">IFERROR(F81+G81,0)</f>
        <v>1116855.1100000001</v>
      </c>
    </row>
    <row r="82" spans="2:8" hidden="1" outlineLevel="2">
      <c r="B82" s="112">
        <v>2400</v>
      </c>
      <c r="C82" s="113" t="s">
        <v>297</v>
      </c>
      <c r="D82" s="113">
        <f>-N(-997407.41)</f>
        <v>997407.41</v>
      </c>
      <c r="E82" s="113">
        <f>-N(0)</f>
        <v>0</v>
      </c>
      <c r="F82" s="114">
        <f>IFERROR(D82+E82,"")</f>
        <v>997407.41</v>
      </c>
      <c r="G82" s="114">
        <f>IFERROR(--119447.7,0)</f>
        <v>119447.7</v>
      </c>
      <c r="H82" s="115">
        <f t="shared" si="8"/>
        <v>1116855.1100000001</v>
      </c>
    </row>
    <row r="83" spans="2:8" hidden="1" outlineLevel="2">
      <c r="B83" s="112">
        <v>2405</v>
      </c>
      <c r="C83" s="113" t="s">
        <v>298</v>
      </c>
      <c r="D83" s="113">
        <f>-N(3208)</f>
        <v>-3208</v>
      </c>
      <c r="E83" s="113">
        <f>-N(0)</f>
        <v>0</v>
      </c>
      <c r="F83" s="114">
        <f>IFERROR(D83+E83,"")</f>
        <v>-3208</v>
      </c>
      <c r="G83" s="114">
        <f>IFERROR(--3208,0)</f>
        <v>3208</v>
      </c>
      <c r="H83" s="115">
        <f t="shared" si="8"/>
        <v>0</v>
      </c>
    </row>
    <row r="84" spans="2:8" hidden="1" outlineLevel="1">
      <c r="B84" s="110" t="str">
        <f>"    "&amp;"Skattetrekk og andre trekk"</f>
        <v xml:space="preserve">    Skattetrekk og andre trekk</v>
      </c>
      <c r="F84" s="76">
        <f>IFERROR(SUM(F85),0)</f>
        <v>555305</v>
      </c>
      <c r="G84" s="76">
        <f>IFERROR(SUM(G85),0)</f>
        <v>-47838</v>
      </c>
      <c r="H84" s="111">
        <f t="shared" si="8"/>
        <v>507467</v>
      </c>
    </row>
    <row r="85" spans="2:8" hidden="1" outlineLevel="2">
      <c r="B85" s="112">
        <v>2600</v>
      </c>
      <c r="C85" s="113" t="s">
        <v>299</v>
      </c>
      <c r="D85" s="113">
        <f>-N(-555305)</f>
        <v>555305</v>
      </c>
      <c r="E85" s="113">
        <f>-N(0)</f>
        <v>0</v>
      </c>
      <c r="F85" s="114">
        <f>IFERROR(D85+E85,"")</f>
        <v>555305</v>
      </c>
      <c r="G85" s="114">
        <f>IFERROR(-47838,0)</f>
        <v>-47838</v>
      </c>
      <c r="H85" s="115">
        <f t="shared" si="8"/>
        <v>507467</v>
      </c>
    </row>
    <row r="86" spans="2:8" hidden="1" outlineLevel="1">
      <c r="B86" s="110" t="str">
        <f>"    "&amp;"Skyldige offentlige avgifter"</f>
        <v xml:space="preserve">    Skyldige offentlige avgifter</v>
      </c>
      <c r="F86" s="76">
        <f>IFERROR(SUM(F87:F88),0)</f>
        <v>430506</v>
      </c>
      <c r="G86" s="76">
        <f>IFERROR(SUM(G87:G88),0)</f>
        <v>21604</v>
      </c>
      <c r="H86" s="111">
        <f t="shared" si="8"/>
        <v>452110</v>
      </c>
    </row>
    <row r="87" spans="2:8" hidden="1" outlineLevel="2">
      <c r="B87" s="112">
        <v>2770</v>
      </c>
      <c r="C87" s="113" t="s">
        <v>300</v>
      </c>
      <c r="D87" s="113">
        <f>-N(-254377)</f>
        <v>254377</v>
      </c>
      <c r="E87" s="113">
        <f>-N(0)</f>
        <v>0</v>
      </c>
      <c r="F87" s="114">
        <f>IFERROR(D87+E87,"")</f>
        <v>254377</v>
      </c>
      <c r="G87" s="114">
        <f>IFERROR(--24028,0)</f>
        <v>24028</v>
      </c>
      <c r="H87" s="115">
        <f t="shared" si="8"/>
        <v>278405</v>
      </c>
    </row>
    <row r="88" spans="2:8" hidden="1" outlineLevel="2">
      <c r="B88" s="112">
        <v>2780</v>
      </c>
      <c r="C88" s="113" t="s">
        <v>301</v>
      </c>
      <c r="D88" s="113">
        <f>-N(-176129)</f>
        <v>176129</v>
      </c>
      <c r="E88" s="113">
        <f>-N(0)</f>
        <v>0</v>
      </c>
      <c r="F88" s="114">
        <f>IFERROR(D88+E88,"")</f>
        <v>176129</v>
      </c>
      <c r="G88" s="114">
        <f>IFERROR(-2424,0)</f>
        <v>-2424</v>
      </c>
      <c r="H88" s="115">
        <f t="shared" si="8"/>
        <v>173705</v>
      </c>
    </row>
    <row r="89" spans="2:8" hidden="1" outlineLevel="1">
      <c r="B89" s="110" t="str">
        <f>"    "&amp;"Annen kortsiktig gjeld"</f>
        <v xml:space="preserve">    Annen kortsiktig gjeld</v>
      </c>
      <c r="F89" s="76">
        <f>IFERROR(SUM(F90:F98),0)</f>
        <v>2483488.44</v>
      </c>
      <c r="G89" s="76">
        <f>IFERROR(SUM(G90:G98),0)</f>
        <v>598984.09000000008</v>
      </c>
      <c r="H89" s="111">
        <f t="shared" si="8"/>
        <v>3082472.5300000003</v>
      </c>
    </row>
    <row r="90" spans="2:8" hidden="1" outlineLevel="2">
      <c r="B90" s="112">
        <v>1780</v>
      </c>
      <c r="C90" s="113" t="s">
        <v>302</v>
      </c>
      <c r="D90" s="113">
        <f>-N(148994.8)</f>
        <v>-148994.79999999999</v>
      </c>
      <c r="E90" s="113">
        <f t="shared" ref="E90:E98" si="9">-N(0)</f>
        <v>0</v>
      </c>
      <c r="F90" s="114">
        <f t="shared" ref="F90:F98" si="10">IFERROR(D90+E90,"")</f>
        <v>-148994.79999999999</v>
      </c>
      <c r="G90" s="114">
        <f>IFERROR(--518025.8,0)</f>
        <v>518025.8</v>
      </c>
      <c r="H90" s="115">
        <f t="shared" si="8"/>
        <v>369031</v>
      </c>
    </row>
    <row r="91" spans="2:8" hidden="1" outlineLevel="2">
      <c r="B91" s="112">
        <v>1932</v>
      </c>
      <c r="C91" s="113" t="s">
        <v>303</v>
      </c>
      <c r="D91" s="113">
        <f>-N(-32942.13)</f>
        <v>32942.129999999997</v>
      </c>
      <c r="E91" s="113">
        <f t="shared" si="9"/>
        <v>0</v>
      </c>
      <c r="F91" s="114">
        <f t="shared" si="10"/>
        <v>32942.129999999997</v>
      </c>
      <c r="G91" s="114">
        <f>IFERROR(-4643.69,0)</f>
        <v>-4643.6899999999996</v>
      </c>
      <c r="H91" s="115">
        <f t="shared" si="8"/>
        <v>28298.44</v>
      </c>
    </row>
    <row r="92" spans="2:8" hidden="1" outlineLevel="2">
      <c r="B92" s="112">
        <v>1933</v>
      </c>
      <c r="C92" s="113" t="s">
        <v>304</v>
      </c>
      <c r="D92" s="113">
        <f>-N(-3125.87)</f>
        <v>3125.87</v>
      </c>
      <c r="E92" s="113">
        <f t="shared" si="9"/>
        <v>0</v>
      </c>
      <c r="F92" s="114">
        <f t="shared" si="10"/>
        <v>3125.87</v>
      </c>
      <c r="G92" s="114">
        <f>IFERROR(--2208.69,0)</f>
        <v>2208.69</v>
      </c>
      <c r="H92" s="115">
        <f t="shared" si="8"/>
        <v>5334.5599999999995</v>
      </c>
    </row>
    <row r="93" spans="2:8" hidden="1" outlineLevel="2">
      <c r="B93" s="112">
        <v>2920</v>
      </c>
      <c r="C93" s="113" t="s">
        <v>306</v>
      </c>
      <c r="D93" s="113">
        <f>-N(0)</f>
        <v>0</v>
      </c>
      <c r="E93" s="113">
        <f t="shared" si="9"/>
        <v>0</v>
      </c>
      <c r="F93" s="114">
        <f t="shared" si="10"/>
        <v>0</v>
      </c>
      <c r="G93" s="114">
        <f>IFERROR(0,0)</f>
        <v>0</v>
      </c>
      <c r="H93" s="115">
        <f t="shared" si="8"/>
        <v>0</v>
      </c>
    </row>
    <row r="94" spans="2:8" hidden="1" outlineLevel="2">
      <c r="B94" s="112">
        <v>2940</v>
      </c>
      <c r="C94" s="113" t="s">
        <v>92</v>
      </c>
      <c r="D94" s="113">
        <f>-N(-1480408)</f>
        <v>1480408</v>
      </c>
      <c r="E94" s="113">
        <f t="shared" si="9"/>
        <v>0</v>
      </c>
      <c r="F94" s="114">
        <f t="shared" si="10"/>
        <v>1480408</v>
      </c>
      <c r="G94" s="114">
        <f>IFERROR(--47268,0)</f>
        <v>47268</v>
      </c>
      <c r="H94" s="115">
        <f t="shared" si="8"/>
        <v>1527676</v>
      </c>
    </row>
    <row r="95" spans="2:8" hidden="1" outlineLevel="2">
      <c r="B95" s="112">
        <v>2960</v>
      </c>
      <c r="C95" s="113" t="s">
        <v>307</v>
      </c>
      <c r="D95" s="113">
        <f>-N(-4500)</f>
        <v>4500</v>
      </c>
      <c r="E95" s="113">
        <f t="shared" si="9"/>
        <v>0</v>
      </c>
      <c r="F95" s="114">
        <f t="shared" si="10"/>
        <v>4500</v>
      </c>
      <c r="G95" s="114">
        <f>IFERROR(--764238.74,0)</f>
        <v>764238.74</v>
      </c>
      <c r="H95" s="115">
        <f t="shared" si="8"/>
        <v>768738.74</v>
      </c>
    </row>
    <row r="96" spans="2:8" hidden="1" outlineLevel="2">
      <c r="B96" s="112">
        <v>2970</v>
      </c>
      <c r="C96" s="113" t="s">
        <v>309</v>
      </c>
      <c r="D96" s="113">
        <f>-N(-775558.24)</f>
        <v>775558.24</v>
      </c>
      <c r="E96" s="113">
        <f t="shared" si="9"/>
        <v>0</v>
      </c>
      <c r="F96" s="114">
        <f t="shared" si="10"/>
        <v>775558.24</v>
      </c>
      <c r="G96" s="114">
        <f>IFERROR(-750308.24,0)</f>
        <v>-750308.24</v>
      </c>
      <c r="H96" s="115">
        <f t="shared" si="8"/>
        <v>25250</v>
      </c>
    </row>
    <row r="97" spans="2:8" hidden="1" outlineLevel="2">
      <c r="B97" s="112">
        <v>2990</v>
      </c>
      <c r="C97" s="113" t="s">
        <v>311</v>
      </c>
      <c r="D97" s="113">
        <f>-N(0)</f>
        <v>0</v>
      </c>
      <c r="E97" s="113">
        <f t="shared" si="9"/>
        <v>0</v>
      </c>
      <c r="F97" s="114">
        <f t="shared" si="10"/>
        <v>0</v>
      </c>
      <c r="G97" s="114">
        <f>IFERROR(0,0)</f>
        <v>0</v>
      </c>
      <c r="H97" s="115">
        <f t="shared" si="8"/>
        <v>0</v>
      </c>
    </row>
    <row r="98" spans="2:8" hidden="1" outlineLevel="2">
      <c r="B98" s="112">
        <v>2993</v>
      </c>
      <c r="C98" s="113" t="s">
        <v>312</v>
      </c>
      <c r="D98" s="113">
        <f>-N(-335949)</f>
        <v>335949</v>
      </c>
      <c r="E98" s="113">
        <f t="shared" si="9"/>
        <v>0</v>
      </c>
      <c r="F98" s="114">
        <f t="shared" si="10"/>
        <v>335949</v>
      </c>
      <c r="G98" s="114">
        <f>IFERROR(--22194.79,0)</f>
        <v>22194.79</v>
      </c>
      <c r="H98" s="115">
        <f t="shared" si="8"/>
        <v>358143.79</v>
      </c>
    </row>
    <row r="99" spans="2:8">
      <c r="B99" s="48" t="str">
        <f>"Sum " &amp; LOWER("Kortsiktig gjeld")</f>
        <v>Sum kortsiktig gjeld</v>
      </c>
      <c r="C99" s="49"/>
      <c r="D99" s="49"/>
      <c r="E99" s="49"/>
      <c r="F99" s="51">
        <f ca="1">SUM(OSRRefF25_1x_0)</f>
        <v>4463498.8499999996</v>
      </c>
      <c r="G99" s="51">
        <f ca="1">SUM(OSRRefG25_1x_0)</f>
        <v>695405.79</v>
      </c>
      <c r="H99" s="116">
        <f ca="1">SUM(OSRRefH25_1x_0)</f>
        <v>5158904.6400000006</v>
      </c>
    </row>
    <row r="100" spans="2:8" ht="15" customHeight="1">
      <c r="B100" s="23"/>
      <c r="C100" s="1"/>
      <c r="D100" s="1"/>
      <c r="E100" s="1"/>
      <c r="F100" s="108"/>
      <c r="G100" s="108"/>
      <c r="H100" s="109"/>
    </row>
    <row r="101" spans="2:8">
      <c r="B101" s="117" t="s">
        <v>313</v>
      </c>
      <c r="C101" s="118"/>
      <c r="D101" s="118"/>
      <c r="E101" s="118"/>
      <c r="F101" s="119">
        <f ca="1">SUM(F71)+SUM(F78,F99)</f>
        <v>80132044</v>
      </c>
      <c r="G101" s="119">
        <f ca="1">SUM(G71)+SUM(G78,G99)</f>
        <v>186415.23999999987</v>
      </c>
      <c r="H101" s="124">
        <f ca="1">SUM(H71)+SUM(H78,H99)</f>
        <v>80318459.239999995</v>
      </c>
    </row>
    <row r="103" spans="2:8">
      <c r="C103" s="97"/>
    </row>
  </sheetData>
  <pageMargins left="0.25" right="0.25" top="0.75" bottom="0.75" header="0.3" footer="0.3"/>
  <pageSetup paperSize="9" scale="96" fitToHeight="0" orientation="portrait"/>
  <headerFooter>
    <oddFooter>&amp;RSide &amp;P av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F2DE0-B2D4-4BA6-A11C-3BE766A40351}">
  <sheetPr>
    <outlinePr summaryBelow="0"/>
    <pageSetUpPr fitToPage="1"/>
  </sheetPr>
  <dimension ref="A1:H119"/>
  <sheetViews>
    <sheetView showGridLines="0" workbookViewId="0">
      <pane ySplit="5" topLeftCell="A6" activePane="bottomLeft" state="frozen"/>
      <selection pane="bottomLeft" activeCell="C8" sqref="C8"/>
    </sheetView>
  </sheetViews>
  <sheetFormatPr defaultColWidth="11.42578125" defaultRowHeight="14.45" outlineLevelRow="2"/>
  <cols>
    <col min="1" max="1" width="1.7109375" customWidth="1"/>
    <col min="2" max="2" width="16.28515625" customWidth="1"/>
    <col min="3" max="3" width="33.5703125" customWidth="1"/>
    <col min="4" max="4" width="5.5703125" hidden="1" customWidth="1"/>
    <col min="5" max="5" width="12.7109375" hidden="1" customWidth="1"/>
    <col min="6" max="8" width="15.7109375" customWidth="1"/>
  </cols>
  <sheetData>
    <row r="1" spans="1:8" ht="9.9499999999999993" customHeight="1">
      <c r="H1" s="6" t="s">
        <v>314</v>
      </c>
    </row>
    <row r="2" spans="1:8" ht="18">
      <c r="A2" s="7"/>
      <c r="B2" s="8" t="s">
        <v>337</v>
      </c>
      <c r="C2" s="7"/>
      <c r="D2" s="7"/>
      <c r="E2" s="7"/>
      <c r="F2" s="7"/>
      <c r="G2" s="7"/>
      <c r="H2" s="9">
        <v>45371.423784722225</v>
      </c>
    </row>
    <row r="3" spans="1:8" ht="15.6">
      <c r="B3" s="101" t="s">
        <v>316</v>
      </c>
    </row>
    <row r="4" spans="1:8" ht="11.25" customHeight="1">
      <c r="C4" s="102"/>
      <c r="D4" s="102"/>
      <c r="E4" s="102"/>
      <c r="F4" s="102"/>
      <c r="G4" s="102"/>
      <c r="H4" s="102"/>
    </row>
    <row r="5" spans="1:8" ht="28.9">
      <c r="B5" s="103" t="str">
        <f>"Periode: "&amp;"202301"&amp;":"&amp;"202312"</f>
        <v>Periode: 202301:202312</v>
      </c>
      <c r="C5" s="104"/>
      <c r="D5" s="104"/>
      <c r="E5" s="104"/>
      <c r="F5" s="105" t="s">
        <v>338</v>
      </c>
      <c r="G5" s="105" t="s">
        <v>339</v>
      </c>
      <c r="H5" s="106" t="s">
        <v>235</v>
      </c>
    </row>
    <row r="6" spans="1:8" ht="11.25" customHeight="1">
      <c r="B6" s="25"/>
      <c r="C6" s="26"/>
      <c r="D6" s="26"/>
      <c r="E6" s="26"/>
      <c r="F6" s="26"/>
      <c r="G6" s="26"/>
      <c r="H6" s="107"/>
    </row>
    <row r="7" spans="1:8">
      <c r="B7" s="23" t="s">
        <v>236</v>
      </c>
      <c r="H7" s="24"/>
    </row>
    <row r="8" spans="1:8" ht="11.25" customHeight="1">
      <c r="B8" s="27"/>
      <c r="H8" s="24"/>
    </row>
    <row r="9" spans="1:8" collapsed="1">
      <c r="B9" s="57" t="s">
        <v>36</v>
      </c>
      <c r="F9" s="108"/>
      <c r="G9" s="108"/>
      <c r="H9" s="109"/>
    </row>
    <row r="10" spans="1:8" hidden="1" outlineLevel="1" collapsed="1">
      <c r="B10" s="110" t="str">
        <f>"    "&amp;"Transportmidler, inventar, maskiner o.l."</f>
        <v xml:space="preserve">    Transportmidler, inventar, maskiner o.l.</v>
      </c>
      <c r="F10" s="76">
        <f>IFERROR(SUM(F11),0)</f>
        <v>139238.37</v>
      </c>
      <c r="G10" s="76">
        <f>IFERROR(SUM(G11)," ")</f>
        <v>53490.07</v>
      </c>
      <c r="H10" s="111">
        <f t="shared" ref="H10:H17" si="0">IFERROR(F10+G10,0)</f>
        <v>192728.44</v>
      </c>
    </row>
    <row r="11" spans="1:8" hidden="1" outlineLevel="2">
      <c r="B11" s="112">
        <v>1250</v>
      </c>
      <c r="C11" s="113" t="s">
        <v>340</v>
      </c>
      <c r="D11" s="113">
        <v>139238.37</v>
      </c>
      <c r="E11" s="113"/>
      <c r="F11" s="114">
        <f>IFERROR(D11+E11,"")</f>
        <v>139238.37</v>
      </c>
      <c r="G11" s="114">
        <v>53490.07</v>
      </c>
      <c r="H11" s="115">
        <f t="shared" si="0"/>
        <v>192728.44</v>
      </c>
    </row>
    <row r="12" spans="1:8" hidden="1" outlineLevel="1">
      <c r="B12" s="110" t="str">
        <f>"    "&amp;"Finansielle anleggsmidler"</f>
        <v xml:space="preserve">    Finansielle anleggsmidler</v>
      </c>
      <c r="F12" s="76">
        <f>IFERROR(SUM(F13:F17),0)</f>
        <v>5671215</v>
      </c>
      <c r="G12" s="76">
        <f>IFERROR(SUM(G13:G17)," ")</f>
        <v>540000</v>
      </c>
      <c r="H12" s="111">
        <f t="shared" si="0"/>
        <v>6211215</v>
      </c>
    </row>
    <row r="13" spans="1:8" hidden="1" outlineLevel="2">
      <c r="B13" s="112">
        <v>1341</v>
      </c>
      <c r="C13" s="113" t="s">
        <v>237</v>
      </c>
      <c r="D13" s="113">
        <v>5000000</v>
      </c>
      <c r="E13" s="113"/>
      <c r="F13" s="114">
        <f t="shared" ref="F13:F17" si="1">IFERROR(D13+E13,"")</f>
        <v>5000000</v>
      </c>
      <c r="G13" s="114"/>
      <c r="H13" s="115">
        <f t="shared" si="0"/>
        <v>5000000</v>
      </c>
    </row>
    <row r="14" spans="1:8" hidden="1" outlineLevel="2">
      <c r="B14" s="112">
        <v>1352</v>
      </c>
      <c r="C14" s="113" t="s">
        <v>238</v>
      </c>
      <c r="D14" s="113">
        <v>667215</v>
      </c>
      <c r="E14" s="113"/>
      <c r="F14" s="114">
        <f t="shared" si="1"/>
        <v>667215</v>
      </c>
      <c r="G14" s="114"/>
      <c r="H14" s="115">
        <f t="shared" si="0"/>
        <v>667215</v>
      </c>
    </row>
    <row r="15" spans="1:8" hidden="1" outlineLevel="2">
      <c r="B15" s="112">
        <v>1353</v>
      </c>
      <c r="C15" s="113" t="s">
        <v>239</v>
      </c>
      <c r="D15" s="113">
        <v>4000</v>
      </c>
      <c r="E15" s="113"/>
      <c r="F15" s="114">
        <f t="shared" si="1"/>
        <v>4000</v>
      </c>
      <c r="G15" s="114"/>
      <c r="H15" s="115">
        <f t="shared" si="0"/>
        <v>4000</v>
      </c>
    </row>
    <row r="16" spans="1:8" hidden="1" outlineLevel="2">
      <c r="B16" s="112">
        <v>1354</v>
      </c>
      <c r="C16" s="113" t="s">
        <v>240</v>
      </c>
      <c r="D16" s="113"/>
      <c r="E16" s="113"/>
      <c r="F16" s="114">
        <f t="shared" si="1"/>
        <v>0</v>
      </c>
      <c r="G16" s="114">
        <v>1700000</v>
      </c>
      <c r="H16" s="115">
        <f t="shared" si="0"/>
        <v>1700000</v>
      </c>
    </row>
    <row r="17" spans="2:8" hidden="1" outlineLevel="2">
      <c r="B17" s="112">
        <v>1355</v>
      </c>
      <c r="C17" s="113" t="s">
        <v>241</v>
      </c>
      <c r="D17" s="113"/>
      <c r="E17" s="113"/>
      <c r="F17" s="114">
        <f t="shared" si="1"/>
        <v>0</v>
      </c>
      <c r="G17" s="114">
        <v>-1160000</v>
      </c>
      <c r="H17" s="115">
        <f t="shared" si="0"/>
        <v>-1160000</v>
      </c>
    </row>
    <row r="18" spans="2:8">
      <c r="B18" s="48" t="str">
        <f>"Sum " &amp; LOWER("Anleggsmidler")</f>
        <v>Sum anleggsmidler</v>
      </c>
      <c r="C18" s="49"/>
      <c r="D18" s="49"/>
      <c r="E18" s="49"/>
      <c r="F18" s="51">
        <f t="shared" ref="F18:H18" si="2">SUM(F10,F12)</f>
        <v>5810453.3700000001</v>
      </c>
      <c r="G18" s="51">
        <f t="shared" si="2"/>
        <v>593490.06999999995</v>
      </c>
      <c r="H18" s="116">
        <f t="shared" si="2"/>
        <v>6403943.4400000004</v>
      </c>
    </row>
    <row r="19" spans="2:8" ht="9.75" customHeight="1">
      <c r="B19" s="23"/>
      <c r="C19" s="1"/>
      <c r="D19" s="1"/>
      <c r="E19" s="1"/>
      <c r="F19" s="108"/>
      <c r="G19" s="108"/>
      <c r="H19" s="109"/>
    </row>
    <row r="20" spans="2:8" collapsed="1">
      <c r="B20" s="57" t="s">
        <v>38</v>
      </c>
      <c r="F20" s="108"/>
      <c r="G20" s="108"/>
      <c r="H20" s="109"/>
    </row>
    <row r="21" spans="2:8" hidden="1" outlineLevel="1" collapsed="1">
      <c r="B21" s="110" t="str">
        <f>"    "&amp;"Kortsiktige fordringer"</f>
        <v xml:space="preserve">    Kortsiktige fordringer</v>
      </c>
      <c r="F21" s="76">
        <f>IFERROR(SUM(F22:F34),0)</f>
        <v>253788.28</v>
      </c>
      <c r="G21" s="76">
        <f>IFERROR(SUM(G22:G34)," ")</f>
        <v>397859.83000000007</v>
      </c>
      <c r="H21" s="111">
        <f t="shared" ref="H21:H66" si="3">IFERROR(F21+G21,0)</f>
        <v>651648.1100000001</v>
      </c>
    </row>
    <row r="22" spans="2:8" hidden="1" outlineLevel="2">
      <c r="B22" s="112">
        <v>1500</v>
      </c>
      <c r="C22" s="113" t="s">
        <v>242</v>
      </c>
      <c r="D22" s="113">
        <v>5990</v>
      </c>
      <c r="E22" s="113"/>
      <c r="F22" s="114">
        <f t="shared" ref="F22:F34" si="4">IFERROR(D22+E22,"")</f>
        <v>5990</v>
      </c>
      <c r="G22" s="114">
        <v>296766.78000000003</v>
      </c>
      <c r="H22" s="115">
        <f t="shared" si="3"/>
        <v>302756.78000000003</v>
      </c>
    </row>
    <row r="23" spans="2:8" hidden="1" outlineLevel="2">
      <c r="B23" s="112">
        <v>1506</v>
      </c>
      <c r="C23" s="113" t="s">
        <v>244</v>
      </c>
      <c r="D23" s="113">
        <v>82244.09</v>
      </c>
      <c r="E23" s="113"/>
      <c r="F23" s="114">
        <f t="shared" si="4"/>
        <v>82244.09</v>
      </c>
      <c r="G23" s="114">
        <v>-11042.75</v>
      </c>
      <c r="H23" s="115">
        <f t="shared" si="3"/>
        <v>71201.34</v>
      </c>
    </row>
    <row r="24" spans="2:8" hidden="1" outlineLevel="2">
      <c r="B24" s="112">
        <v>1516</v>
      </c>
      <c r="C24" s="113" t="s">
        <v>245</v>
      </c>
      <c r="D24" s="113"/>
      <c r="E24" s="113"/>
      <c r="F24" s="114">
        <f t="shared" si="4"/>
        <v>0</v>
      </c>
      <c r="G24" s="114">
        <v>106327</v>
      </c>
      <c r="H24" s="115">
        <f t="shared" si="3"/>
        <v>106327</v>
      </c>
    </row>
    <row r="25" spans="2:8" hidden="1" outlineLevel="2">
      <c r="B25" s="112">
        <v>1517</v>
      </c>
      <c r="C25" s="113" t="s">
        <v>246</v>
      </c>
      <c r="D25" s="113"/>
      <c r="E25" s="113"/>
      <c r="F25" s="114">
        <f t="shared" si="4"/>
        <v>0</v>
      </c>
      <c r="G25" s="114">
        <v>23653</v>
      </c>
      <c r="H25" s="115">
        <f t="shared" si="3"/>
        <v>23653</v>
      </c>
    </row>
    <row r="26" spans="2:8" hidden="1" outlineLevel="2">
      <c r="B26" s="112">
        <v>1518</v>
      </c>
      <c r="C26" s="113" t="s">
        <v>247</v>
      </c>
      <c r="D26" s="113"/>
      <c r="E26" s="113"/>
      <c r="F26" s="114">
        <f t="shared" si="4"/>
        <v>0</v>
      </c>
      <c r="G26" s="114">
        <v>0</v>
      </c>
      <c r="H26" s="115">
        <f t="shared" si="3"/>
        <v>0</v>
      </c>
    </row>
    <row r="27" spans="2:8" hidden="1" outlineLevel="2">
      <c r="B27" s="112">
        <v>1573</v>
      </c>
      <c r="C27" s="113" t="s">
        <v>248</v>
      </c>
      <c r="D27" s="113"/>
      <c r="E27" s="113"/>
      <c r="F27" s="114">
        <f t="shared" si="4"/>
        <v>0</v>
      </c>
      <c r="G27" s="114">
        <v>0</v>
      </c>
      <c r="H27" s="115">
        <f t="shared" si="3"/>
        <v>0</v>
      </c>
    </row>
    <row r="28" spans="2:8" hidden="1" outlineLevel="2">
      <c r="B28" s="112">
        <v>1575</v>
      </c>
      <c r="C28" s="113" t="s">
        <v>341</v>
      </c>
      <c r="D28" s="113"/>
      <c r="E28" s="113"/>
      <c r="F28" s="114">
        <f t="shared" si="4"/>
        <v>0</v>
      </c>
      <c r="G28" s="114">
        <v>61469</v>
      </c>
      <c r="H28" s="115">
        <f t="shared" si="3"/>
        <v>61469</v>
      </c>
    </row>
    <row r="29" spans="2:8" hidden="1" outlineLevel="2">
      <c r="B29" s="112">
        <v>1577</v>
      </c>
      <c r="C29" s="113" t="s">
        <v>251</v>
      </c>
      <c r="D29" s="113"/>
      <c r="E29" s="113"/>
      <c r="F29" s="114">
        <f t="shared" si="4"/>
        <v>0</v>
      </c>
      <c r="G29" s="114">
        <v>9265.5300000000007</v>
      </c>
      <c r="H29" s="115">
        <f t="shared" si="3"/>
        <v>9265.5300000000007</v>
      </c>
    </row>
    <row r="30" spans="2:8" hidden="1" outlineLevel="2">
      <c r="B30" s="112">
        <v>1578</v>
      </c>
      <c r="C30" s="113" t="s">
        <v>342</v>
      </c>
      <c r="D30" s="113">
        <v>104651.19</v>
      </c>
      <c r="E30" s="113"/>
      <c r="F30" s="114">
        <f t="shared" si="4"/>
        <v>104651.19</v>
      </c>
      <c r="G30" s="114">
        <v>-104651.19</v>
      </c>
      <c r="H30" s="115">
        <f t="shared" si="3"/>
        <v>0</v>
      </c>
    </row>
    <row r="31" spans="2:8" hidden="1" outlineLevel="2">
      <c r="B31" s="112">
        <v>1579</v>
      </c>
      <c r="C31" s="113" t="s">
        <v>253</v>
      </c>
      <c r="D31" s="113">
        <v>27270</v>
      </c>
      <c r="E31" s="113"/>
      <c r="F31" s="114">
        <f t="shared" si="4"/>
        <v>27270</v>
      </c>
      <c r="G31" s="114">
        <v>-27270</v>
      </c>
      <c r="H31" s="115">
        <f t="shared" si="3"/>
        <v>0</v>
      </c>
    </row>
    <row r="32" spans="2:8" hidden="1" outlineLevel="2">
      <c r="B32" s="112">
        <v>1997</v>
      </c>
      <c r="C32" s="113" t="s">
        <v>286</v>
      </c>
      <c r="D32" s="113"/>
      <c r="E32" s="113"/>
      <c r="F32" s="114">
        <f t="shared" si="4"/>
        <v>0</v>
      </c>
      <c r="G32" s="114">
        <v>0</v>
      </c>
      <c r="H32" s="115">
        <f t="shared" si="3"/>
        <v>0</v>
      </c>
    </row>
    <row r="33" spans="2:8" hidden="1" outlineLevel="2">
      <c r="B33" s="112">
        <v>1998</v>
      </c>
      <c r="C33" s="113" t="s">
        <v>252</v>
      </c>
      <c r="D33" s="113"/>
      <c r="E33" s="113"/>
      <c r="F33" s="114">
        <f t="shared" si="4"/>
        <v>0</v>
      </c>
      <c r="G33" s="114">
        <v>76975.460000000006</v>
      </c>
      <c r="H33" s="115">
        <f t="shared" si="3"/>
        <v>76975.460000000006</v>
      </c>
    </row>
    <row r="34" spans="2:8" hidden="1" outlineLevel="2">
      <c r="B34" s="112">
        <v>2998</v>
      </c>
      <c r="C34" s="113" t="s">
        <v>254</v>
      </c>
      <c r="D34" s="113">
        <v>33633</v>
      </c>
      <c r="E34" s="113"/>
      <c r="F34" s="114">
        <f t="shared" si="4"/>
        <v>33633</v>
      </c>
      <c r="G34" s="114">
        <v>-33633</v>
      </c>
      <c r="H34" s="115">
        <f t="shared" si="3"/>
        <v>0</v>
      </c>
    </row>
    <row r="35" spans="2:8" hidden="1" outlineLevel="1" collapsed="1">
      <c r="B35" s="110" t="str">
        <f>"    "&amp;"Forskuddsbetalt kostnad, påløpt inntekt o.l."</f>
        <v xml:space="preserve">    Forskuddsbetalt kostnad, påløpt inntekt o.l.</v>
      </c>
      <c r="F35" s="76">
        <f>IFERROR(SUM(F36:F41),0)</f>
        <v>581121.55000000005</v>
      </c>
      <c r="G35" s="76">
        <f>IFERROR(SUM(G36:G41)," ")</f>
        <v>114201.70000000003</v>
      </c>
      <c r="H35" s="111">
        <f t="shared" si="3"/>
        <v>695323.25000000012</v>
      </c>
    </row>
    <row r="36" spans="2:8" hidden="1" outlineLevel="2">
      <c r="B36" s="112">
        <v>1742</v>
      </c>
      <c r="C36" s="113" t="s">
        <v>256</v>
      </c>
      <c r="D36" s="113">
        <v>210264</v>
      </c>
      <c r="E36" s="113"/>
      <c r="F36" s="114">
        <f t="shared" ref="F36:F41" si="5">IFERROR(D36+E36,"")</f>
        <v>210264</v>
      </c>
      <c r="G36" s="114">
        <v>370855.25</v>
      </c>
      <c r="H36" s="115">
        <f t="shared" si="3"/>
        <v>581119.25</v>
      </c>
    </row>
    <row r="37" spans="2:8" hidden="1" outlineLevel="2">
      <c r="B37" s="112">
        <v>1749</v>
      </c>
      <c r="C37" s="113" t="s">
        <v>257</v>
      </c>
      <c r="D37" s="113">
        <v>368647.55</v>
      </c>
      <c r="E37" s="113"/>
      <c r="F37" s="114">
        <f t="shared" si="5"/>
        <v>368647.55</v>
      </c>
      <c r="G37" s="114">
        <v>-289603.09999999998</v>
      </c>
      <c r="H37" s="115">
        <f t="shared" si="3"/>
        <v>79044.450000000012</v>
      </c>
    </row>
    <row r="38" spans="2:8" hidden="1" outlineLevel="2">
      <c r="B38" s="112">
        <v>1751</v>
      </c>
      <c r="C38" s="113" t="s">
        <v>258</v>
      </c>
      <c r="D38" s="113"/>
      <c r="E38" s="113"/>
      <c r="F38" s="114">
        <f t="shared" si="5"/>
        <v>0</v>
      </c>
      <c r="G38" s="114">
        <v>0</v>
      </c>
      <c r="H38" s="115">
        <f t="shared" si="3"/>
        <v>0</v>
      </c>
    </row>
    <row r="39" spans="2:8" hidden="1" outlineLevel="2">
      <c r="B39" s="112">
        <v>1790</v>
      </c>
      <c r="C39" s="113" t="s">
        <v>259</v>
      </c>
      <c r="D39" s="113">
        <v>10</v>
      </c>
      <c r="E39" s="113"/>
      <c r="F39" s="114">
        <f t="shared" si="5"/>
        <v>10</v>
      </c>
      <c r="G39" s="114">
        <v>12990</v>
      </c>
      <c r="H39" s="115">
        <f t="shared" si="3"/>
        <v>13000</v>
      </c>
    </row>
    <row r="40" spans="2:8" hidden="1" outlineLevel="2">
      <c r="B40" s="112">
        <v>1791</v>
      </c>
      <c r="C40" s="113" t="s">
        <v>260</v>
      </c>
      <c r="D40" s="113">
        <v>2200</v>
      </c>
      <c r="E40" s="113"/>
      <c r="F40" s="114">
        <f t="shared" si="5"/>
        <v>2200</v>
      </c>
      <c r="G40" s="114">
        <v>19959.55</v>
      </c>
      <c r="H40" s="115">
        <f t="shared" si="3"/>
        <v>22159.55</v>
      </c>
    </row>
    <row r="41" spans="2:8" hidden="1" outlineLevel="2">
      <c r="B41" s="112">
        <v>1799</v>
      </c>
      <c r="C41" s="113" t="s">
        <v>261</v>
      </c>
      <c r="D41" s="113"/>
      <c r="E41" s="113"/>
      <c r="F41" s="114">
        <f t="shared" si="5"/>
        <v>0</v>
      </c>
      <c r="G41" s="114">
        <v>0</v>
      </c>
      <c r="H41" s="115">
        <f t="shared" si="3"/>
        <v>0</v>
      </c>
    </row>
    <row r="42" spans="2:8" hidden="1" outlineLevel="1" collapsed="1">
      <c r="B42" s="110" t="str">
        <f>"    "&amp;"Kortsiktige finansinvesteringer"</f>
        <v xml:space="preserve">    Kortsiktige finansinvesteringer</v>
      </c>
      <c r="F42" s="76">
        <f>IFERROR(SUM(F43:F45),0)</f>
        <v>38034753.170000002</v>
      </c>
      <c r="G42" s="76">
        <f>IFERROR(SUM(G43:G45)," ")</f>
        <v>26955320.679999996</v>
      </c>
      <c r="H42" s="111">
        <f t="shared" si="3"/>
        <v>64990073.849999994</v>
      </c>
    </row>
    <row r="43" spans="2:8" hidden="1" outlineLevel="2">
      <c r="B43" s="112">
        <v>1830</v>
      </c>
      <c r="C43" s="113" t="s">
        <v>262</v>
      </c>
      <c r="D43" s="113">
        <v>38034753.170000002</v>
      </c>
      <c r="E43" s="113"/>
      <c r="F43" s="114">
        <f t="shared" ref="F43:F45" si="6">IFERROR(D43+E43,"")</f>
        <v>38034753.170000002</v>
      </c>
      <c r="G43" s="114">
        <v>-38034753.170000002</v>
      </c>
      <c r="H43" s="115">
        <f t="shared" si="3"/>
        <v>0</v>
      </c>
    </row>
    <row r="44" spans="2:8" hidden="1" outlineLevel="2">
      <c r="B44" s="112">
        <v>1831</v>
      </c>
      <c r="C44" s="113" t="s">
        <v>263</v>
      </c>
      <c r="D44" s="113"/>
      <c r="E44" s="113"/>
      <c r="F44" s="114">
        <f t="shared" si="6"/>
        <v>0</v>
      </c>
      <c r="G44" s="114">
        <v>52343323.649999999</v>
      </c>
      <c r="H44" s="115">
        <f t="shared" si="3"/>
        <v>52343323.649999999</v>
      </c>
    </row>
    <row r="45" spans="2:8" hidden="1" outlineLevel="2">
      <c r="B45" s="112">
        <v>1832</v>
      </c>
      <c r="C45" s="113" t="s">
        <v>263</v>
      </c>
      <c r="D45" s="113"/>
      <c r="E45" s="113"/>
      <c r="F45" s="114">
        <f t="shared" si="6"/>
        <v>0</v>
      </c>
      <c r="G45" s="114">
        <v>12646750.199999999</v>
      </c>
      <c r="H45" s="115">
        <f t="shared" si="3"/>
        <v>12646750.199999999</v>
      </c>
    </row>
    <row r="46" spans="2:8" hidden="1" outlineLevel="1" collapsed="1">
      <c r="B46" s="110" t="str">
        <f>"    "&amp;"Kontanter, bankinnskudd o.l."</f>
        <v xml:space="preserve">    Kontanter, bankinnskudd o.l.</v>
      </c>
      <c r="F46" s="76">
        <f>IFERROR(SUM(F47:F66),0)</f>
        <v>35638342.880000003</v>
      </c>
      <c r="G46" s="76">
        <f>IFERROR(SUM(G47:G66)," ")</f>
        <v>-24629202.619999994</v>
      </c>
      <c r="H46" s="111">
        <f t="shared" si="3"/>
        <v>11009140.260000009</v>
      </c>
    </row>
    <row r="47" spans="2:8" hidden="1" outlineLevel="2">
      <c r="B47" s="112">
        <v>1322</v>
      </c>
      <c r="C47" s="113" t="s">
        <v>343</v>
      </c>
      <c r="D47" s="113">
        <v>416979</v>
      </c>
      <c r="E47" s="113"/>
      <c r="F47" s="114">
        <f t="shared" ref="F47:F66" si="7">IFERROR(D47+E47,"")</f>
        <v>416979</v>
      </c>
      <c r="G47" s="114">
        <v>-130053</v>
      </c>
      <c r="H47" s="115">
        <f t="shared" si="3"/>
        <v>286926</v>
      </c>
    </row>
    <row r="48" spans="2:8" hidden="1" outlineLevel="2">
      <c r="B48" s="112">
        <v>1900</v>
      </c>
      <c r="C48" s="113" t="s">
        <v>265</v>
      </c>
      <c r="D48" s="113">
        <v>4215</v>
      </c>
      <c r="E48" s="113"/>
      <c r="F48" s="114">
        <f t="shared" si="7"/>
        <v>4215</v>
      </c>
      <c r="G48" s="114">
        <v>-555</v>
      </c>
      <c r="H48" s="115">
        <f t="shared" si="3"/>
        <v>3660</v>
      </c>
    </row>
    <row r="49" spans="2:8" hidden="1" outlineLevel="2">
      <c r="B49" s="112">
        <v>1903</v>
      </c>
      <c r="C49" s="113" t="s">
        <v>267</v>
      </c>
      <c r="D49" s="113">
        <v>2934.44</v>
      </c>
      <c r="E49" s="113"/>
      <c r="F49" s="114">
        <f t="shared" si="7"/>
        <v>2934.44</v>
      </c>
      <c r="G49" s="114">
        <v>-2653.52</v>
      </c>
      <c r="H49" s="115">
        <f t="shared" si="3"/>
        <v>280.92000000000007</v>
      </c>
    </row>
    <row r="50" spans="2:8" hidden="1" outlineLevel="2">
      <c r="B50" s="112">
        <v>1904</v>
      </c>
      <c r="C50" s="113" t="s">
        <v>268</v>
      </c>
      <c r="D50" s="113"/>
      <c r="E50" s="113"/>
      <c r="F50" s="114">
        <f t="shared" si="7"/>
        <v>0</v>
      </c>
      <c r="G50" s="114">
        <v>6676.05</v>
      </c>
      <c r="H50" s="115">
        <f t="shared" si="3"/>
        <v>6676.05</v>
      </c>
    </row>
    <row r="51" spans="2:8" hidden="1" outlineLevel="2">
      <c r="B51" s="112">
        <v>1920</v>
      </c>
      <c r="C51" s="113" t="s">
        <v>269</v>
      </c>
      <c r="D51" s="113">
        <v>4731873.8499999996</v>
      </c>
      <c r="E51" s="113"/>
      <c r="F51" s="114">
        <f t="shared" si="7"/>
        <v>4731873.8499999996</v>
      </c>
      <c r="G51" s="114">
        <v>-2596102.9500000002</v>
      </c>
      <c r="H51" s="115">
        <f t="shared" si="3"/>
        <v>2135770.8999999994</v>
      </c>
    </row>
    <row r="52" spans="2:8" hidden="1" outlineLevel="2">
      <c r="B52" s="112">
        <v>1921</v>
      </c>
      <c r="C52" s="113" t="s">
        <v>270</v>
      </c>
      <c r="D52" s="113">
        <v>101847.37</v>
      </c>
      <c r="E52" s="113"/>
      <c r="F52" s="114">
        <f t="shared" si="7"/>
        <v>101847.37</v>
      </c>
      <c r="G52" s="114">
        <v>3557.02</v>
      </c>
      <c r="H52" s="115">
        <f t="shared" si="3"/>
        <v>105404.39</v>
      </c>
    </row>
    <row r="53" spans="2:8" hidden="1" outlineLevel="2">
      <c r="B53" s="112">
        <v>1922</v>
      </c>
      <c r="C53" s="113" t="s">
        <v>271</v>
      </c>
      <c r="D53" s="113">
        <v>5478.82</v>
      </c>
      <c r="E53" s="113"/>
      <c r="F53" s="114">
        <f t="shared" si="7"/>
        <v>5478.82</v>
      </c>
      <c r="G53" s="114">
        <v>-431.8</v>
      </c>
      <c r="H53" s="115">
        <f t="shared" si="3"/>
        <v>5047.0199999999995</v>
      </c>
    </row>
    <row r="54" spans="2:8" hidden="1" outlineLevel="2">
      <c r="B54" s="112">
        <v>1923</v>
      </c>
      <c r="C54" s="113" t="s">
        <v>272</v>
      </c>
      <c r="D54" s="113">
        <v>12266631.02</v>
      </c>
      <c r="E54" s="113"/>
      <c r="F54" s="114">
        <f t="shared" si="7"/>
        <v>12266631.02</v>
      </c>
      <c r="G54" s="114">
        <v>-12182679.560000001</v>
      </c>
      <c r="H54" s="115">
        <f t="shared" si="3"/>
        <v>83951.459999999031</v>
      </c>
    </row>
    <row r="55" spans="2:8" hidden="1" outlineLevel="2">
      <c r="B55" s="112">
        <v>1925</v>
      </c>
      <c r="C55" s="113" t="s">
        <v>273</v>
      </c>
      <c r="D55" s="113">
        <v>619796.66</v>
      </c>
      <c r="E55" s="113"/>
      <c r="F55" s="114">
        <f t="shared" si="7"/>
        <v>619796.66</v>
      </c>
      <c r="G55" s="114">
        <v>1684650.37</v>
      </c>
      <c r="H55" s="115">
        <f t="shared" si="3"/>
        <v>2304447.0300000003</v>
      </c>
    </row>
    <row r="56" spans="2:8" hidden="1" outlineLevel="2">
      <c r="B56" s="112">
        <v>1926</v>
      </c>
      <c r="C56" s="113" t="s">
        <v>274</v>
      </c>
      <c r="D56" s="113">
        <v>3725.85</v>
      </c>
      <c r="E56" s="113"/>
      <c r="F56" s="114">
        <f t="shared" si="7"/>
        <v>3725.85</v>
      </c>
      <c r="G56" s="114">
        <v>-3616.11</v>
      </c>
      <c r="H56" s="115">
        <f t="shared" si="3"/>
        <v>109.73999999999978</v>
      </c>
    </row>
    <row r="57" spans="2:8" hidden="1" outlineLevel="2">
      <c r="B57" s="112">
        <v>1927</v>
      </c>
      <c r="C57" s="113" t="s">
        <v>275</v>
      </c>
      <c r="D57" s="113">
        <v>950960.54</v>
      </c>
      <c r="E57" s="113"/>
      <c r="F57" s="114">
        <f t="shared" si="7"/>
        <v>950960.54</v>
      </c>
      <c r="G57" s="114">
        <v>-41380.54</v>
      </c>
      <c r="H57" s="115">
        <f t="shared" si="3"/>
        <v>909580</v>
      </c>
    </row>
    <row r="58" spans="2:8" hidden="1" outlineLevel="2">
      <c r="B58" s="112">
        <v>1928</v>
      </c>
      <c r="C58" s="113" t="s">
        <v>276</v>
      </c>
      <c r="D58" s="113">
        <v>250888.91</v>
      </c>
      <c r="E58" s="113"/>
      <c r="F58" s="114">
        <f t="shared" si="7"/>
        <v>250888.91</v>
      </c>
      <c r="G58" s="114">
        <v>-241605.11</v>
      </c>
      <c r="H58" s="115">
        <f t="shared" si="3"/>
        <v>9283.8000000000175</v>
      </c>
    </row>
    <row r="59" spans="2:8" hidden="1" outlineLevel="2">
      <c r="B59" s="112">
        <v>1934</v>
      </c>
      <c r="C59" s="113" t="s">
        <v>277</v>
      </c>
      <c r="D59" s="113">
        <v>471.67</v>
      </c>
      <c r="E59" s="113"/>
      <c r="F59" s="114">
        <f t="shared" si="7"/>
        <v>471.67</v>
      </c>
      <c r="G59" s="114">
        <v>16.47</v>
      </c>
      <c r="H59" s="115">
        <f t="shared" si="3"/>
        <v>488.14</v>
      </c>
    </row>
    <row r="60" spans="2:8" hidden="1" outlineLevel="2">
      <c r="B60" s="112">
        <v>1936</v>
      </c>
      <c r="C60" s="113" t="s">
        <v>278</v>
      </c>
      <c r="D60" s="113">
        <v>4284068.28</v>
      </c>
      <c r="E60" s="113"/>
      <c r="F60" s="114">
        <f t="shared" si="7"/>
        <v>4284068.28</v>
      </c>
      <c r="G60" s="114">
        <v>-646470.30000000005</v>
      </c>
      <c r="H60" s="115">
        <f t="shared" si="3"/>
        <v>3637597.9800000004</v>
      </c>
    </row>
    <row r="61" spans="2:8" hidden="1" outlineLevel="2">
      <c r="B61" s="112">
        <v>1937</v>
      </c>
      <c r="C61" s="113" t="s">
        <v>279</v>
      </c>
      <c r="D61" s="113">
        <v>11357823.18</v>
      </c>
      <c r="E61" s="113"/>
      <c r="F61" s="114">
        <f t="shared" si="7"/>
        <v>11357823.18</v>
      </c>
      <c r="G61" s="114">
        <v>-11258101.49</v>
      </c>
      <c r="H61" s="115">
        <f t="shared" si="3"/>
        <v>99721.689999999478</v>
      </c>
    </row>
    <row r="62" spans="2:8" hidden="1" outlineLevel="2">
      <c r="B62" s="112">
        <v>1938</v>
      </c>
      <c r="C62" s="113" t="s">
        <v>280</v>
      </c>
      <c r="D62" s="113"/>
      <c r="E62" s="113"/>
      <c r="F62" s="114">
        <f t="shared" si="7"/>
        <v>0</v>
      </c>
      <c r="G62" s="114">
        <v>115871.85</v>
      </c>
      <c r="H62" s="115">
        <f t="shared" si="3"/>
        <v>115871.85</v>
      </c>
    </row>
    <row r="63" spans="2:8" hidden="1" outlineLevel="2">
      <c r="B63" s="112">
        <v>1946</v>
      </c>
      <c r="C63" s="113" t="s">
        <v>282</v>
      </c>
      <c r="D63" s="113">
        <v>73919.75</v>
      </c>
      <c r="E63" s="113"/>
      <c r="F63" s="114">
        <f t="shared" si="7"/>
        <v>73919.75</v>
      </c>
      <c r="G63" s="114">
        <v>-68608.95</v>
      </c>
      <c r="H63" s="115">
        <f t="shared" si="3"/>
        <v>5310.8000000000029</v>
      </c>
    </row>
    <row r="64" spans="2:8" hidden="1" outlineLevel="2">
      <c r="B64" s="112">
        <v>1947</v>
      </c>
      <c r="C64" s="113" t="s">
        <v>283</v>
      </c>
      <c r="D64" s="113">
        <v>31117.54</v>
      </c>
      <c r="E64" s="113"/>
      <c r="F64" s="114">
        <f t="shared" si="7"/>
        <v>31117.54</v>
      </c>
      <c r="G64" s="114">
        <v>1086.78</v>
      </c>
      <c r="H64" s="115">
        <f t="shared" si="3"/>
        <v>32204.32</v>
      </c>
    </row>
    <row r="65" spans="2:8" hidden="1" outlineLevel="2">
      <c r="B65" s="112">
        <v>1950</v>
      </c>
      <c r="C65" s="113" t="s">
        <v>284</v>
      </c>
      <c r="D65" s="113">
        <v>535611</v>
      </c>
      <c r="E65" s="113"/>
      <c r="F65" s="114">
        <f t="shared" si="7"/>
        <v>535611</v>
      </c>
      <c r="G65" s="114">
        <v>458134</v>
      </c>
      <c r="H65" s="115">
        <f t="shared" si="3"/>
        <v>993745</v>
      </c>
    </row>
    <row r="66" spans="2:8" hidden="1" outlineLevel="2">
      <c r="B66" s="112">
        <v>1990</v>
      </c>
      <c r="C66" s="113" t="s">
        <v>344</v>
      </c>
      <c r="D66" s="113"/>
      <c r="E66" s="113"/>
      <c r="F66" s="114">
        <f t="shared" si="7"/>
        <v>0</v>
      </c>
      <c r="G66" s="114">
        <v>273063.17</v>
      </c>
      <c r="H66" s="115">
        <f t="shared" si="3"/>
        <v>273063.17</v>
      </c>
    </row>
    <row r="67" spans="2:8">
      <c r="B67" s="48" t="str">
        <f>"Sum " &amp; LOWER("Omløpsmidler")</f>
        <v>Sum omløpsmidler</v>
      </c>
      <c r="C67" s="49"/>
      <c r="D67" s="49"/>
      <c r="E67" s="49"/>
      <c r="F67" s="51">
        <f ca="1">SUM(OSRRefF10_1x_0)</f>
        <v>74508005.879999995</v>
      </c>
      <c r="G67" s="51">
        <f ca="1">SUM(OSRRefG10_1x_0)</f>
        <v>2838179.5900000036</v>
      </c>
      <c r="H67" s="116">
        <f ca="1">SUM(OSRRefH10_1x_0)</f>
        <v>77346185.469999999</v>
      </c>
    </row>
    <row r="68" spans="2:8" ht="9.75" customHeight="1">
      <c r="B68" s="23"/>
      <c r="C68" s="1"/>
      <c r="D68" s="1"/>
      <c r="E68" s="1"/>
      <c r="F68" s="108"/>
      <c r="G68" s="108"/>
      <c r="H68" s="109"/>
    </row>
    <row r="69" spans="2:8">
      <c r="B69" s="117" t="s">
        <v>39</v>
      </c>
      <c r="C69" s="118"/>
      <c r="D69" s="118"/>
      <c r="E69" s="118"/>
      <c r="F69" s="119">
        <f t="shared" ref="F69:H69" ca="1" si="8">SUM(F18,F67)</f>
        <v>80318459.25</v>
      </c>
      <c r="G69" s="119">
        <f t="shared" ca="1" si="8"/>
        <v>3431669.6600000034</v>
      </c>
      <c r="H69" s="120">
        <f t="shared" ca="1" si="8"/>
        <v>83750128.909999996</v>
      </c>
    </row>
    <row r="70" spans="2:8" ht="11.25" customHeight="1">
      <c r="B70" s="27"/>
      <c r="F70" s="76"/>
      <c r="G70" s="76"/>
      <c r="H70" s="121"/>
    </row>
    <row r="71" spans="2:8">
      <c r="B71" s="23" t="s">
        <v>287</v>
      </c>
      <c r="F71" s="76"/>
      <c r="G71" s="76"/>
      <c r="H71" s="121"/>
    </row>
    <row r="72" spans="2:8" ht="11.25" customHeight="1">
      <c r="B72" s="23"/>
      <c r="F72" s="76"/>
      <c r="G72" s="76"/>
      <c r="H72" s="121"/>
    </row>
    <row r="73" spans="2:8" collapsed="1">
      <c r="B73" s="57" t="s">
        <v>47</v>
      </c>
      <c r="F73" s="108"/>
      <c r="G73" s="108"/>
      <c r="H73" s="109"/>
    </row>
    <row r="74" spans="2:8" hidden="1" outlineLevel="1" collapsed="1">
      <c r="B74" s="110" t="str">
        <f>"    "&amp;"Egenkapital"</f>
        <v xml:space="preserve">    Egenkapital</v>
      </c>
      <c r="F74" s="76">
        <f t="shared" ref="F74:G74" si="9">IFERROR(SUM(F75:F83),0)</f>
        <v>75308517.739999995</v>
      </c>
      <c r="G74" s="76">
        <f t="shared" si="9"/>
        <v>661160.72999999986</v>
      </c>
      <c r="H74" s="111">
        <f t="shared" ref="H74:H83" si="10">IFERROR(F74+G74,0)</f>
        <v>75969678.469999999</v>
      </c>
    </row>
    <row r="75" spans="2:8" hidden="1" outlineLevel="2">
      <c r="B75" s="112">
        <v>2000</v>
      </c>
      <c r="C75" s="113" t="s">
        <v>47</v>
      </c>
      <c r="D75" s="113">
        <f>-N(-28752731.57)</f>
        <v>28752731.57</v>
      </c>
      <c r="E75" s="113">
        <f t="shared" ref="E75:E83" si="11">-N(0)</f>
        <v>0</v>
      </c>
      <c r="F75" s="114">
        <f t="shared" ref="F75:F83" si="12">IFERROR(D75+E75,"")</f>
        <v>28752731.57</v>
      </c>
      <c r="G75" s="114">
        <f>IFERROR(--128254.59,0)</f>
        <v>128254.59</v>
      </c>
      <c r="H75" s="115">
        <f t="shared" si="10"/>
        <v>28880986.16</v>
      </c>
    </row>
    <row r="76" spans="2:8" hidden="1" outlineLevel="2">
      <c r="B76" s="112">
        <v>2055</v>
      </c>
      <c r="C76" s="113" t="s">
        <v>345</v>
      </c>
      <c r="D76" s="113">
        <f t="shared" ref="D76:D78" si="13">-N(0)</f>
        <v>0</v>
      </c>
      <c r="E76" s="113">
        <f t="shared" si="11"/>
        <v>0</v>
      </c>
      <c r="F76" s="114">
        <f t="shared" si="12"/>
        <v>0</v>
      </c>
      <c r="G76" s="114">
        <f>IFERROR(--150000,0)</f>
        <v>150000</v>
      </c>
      <c r="H76" s="115">
        <f t="shared" si="10"/>
        <v>150000</v>
      </c>
    </row>
    <row r="77" spans="2:8" hidden="1" outlineLevel="2">
      <c r="B77" s="112">
        <v>2056</v>
      </c>
      <c r="C77" s="113" t="s">
        <v>346</v>
      </c>
      <c r="D77" s="113">
        <f t="shared" si="13"/>
        <v>0</v>
      </c>
      <c r="E77" s="113">
        <f t="shared" si="11"/>
        <v>0</v>
      </c>
      <c r="F77" s="114">
        <f t="shared" si="12"/>
        <v>0</v>
      </c>
      <c r="G77" s="114">
        <f>IFERROR(--55006.27,0)</f>
        <v>55006.27</v>
      </c>
      <c r="H77" s="115">
        <f t="shared" si="10"/>
        <v>55006.27</v>
      </c>
    </row>
    <row r="78" spans="2:8" hidden="1" outlineLevel="2">
      <c r="B78" s="112">
        <v>2058</v>
      </c>
      <c r="C78" s="113" t="s">
        <v>290</v>
      </c>
      <c r="D78" s="113">
        <f t="shared" si="13"/>
        <v>0</v>
      </c>
      <c r="E78" s="113">
        <f t="shared" si="11"/>
        <v>0</v>
      </c>
      <c r="F78" s="114">
        <f t="shared" si="12"/>
        <v>0</v>
      </c>
      <c r="G78" s="114">
        <f>IFERROR(--3994203.96,0)</f>
        <v>3994203.96</v>
      </c>
      <c r="H78" s="115">
        <f t="shared" si="10"/>
        <v>3994203.96</v>
      </c>
    </row>
    <row r="79" spans="2:8" hidden="1" outlineLevel="2">
      <c r="B79" s="112">
        <v>2066</v>
      </c>
      <c r="C79" s="113" t="s">
        <v>48</v>
      </c>
      <c r="D79" s="113">
        <f>-N(-15661757.36)</f>
        <v>15661757.359999999</v>
      </c>
      <c r="E79" s="113">
        <f t="shared" si="11"/>
        <v>0</v>
      </c>
      <c r="F79" s="114">
        <f t="shared" si="12"/>
        <v>15661757.359999999</v>
      </c>
      <c r="G79" s="114">
        <f>IFERROR(--574214.84,0)</f>
        <v>574214.84</v>
      </c>
      <c r="H79" s="115">
        <f t="shared" si="10"/>
        <v>16235972.199999999</v>
      </c>
    </row>
    <row r="80" spans="2:8" hidden="1" outlineLevel="2">
      <c r="B80" s="112">
        <v>2070</v>
      </c>
      <c r="C80" s="113" t="s">
        <v>49</v>
      </c>
      <c r="D80" s="113">
        <f>-N(-25447759.06)</f>
        <v>25447759.059999999</v>
      </c>
      <c r="E80" s="113">
        <f t="shared" si="11"/>
        <v>0</v>
      </c>
      <c r="F80" s="114">
        <f t="shared" si="12"/>
        <v>25447759.059999999</v>
      </c>
      <c r="G80" s="114">
        <f>IFERROR(-2158356.47,0)</f>
        <v>-2158356.4700000002</v>
      </c>
      <c r="H80" s="115">
        <f t="shared" si="10"/>
        <v>23289402.59</v>
      </c>
    </row>
    <row r="81" spans="2:8" hidden="1" outlineLevel="2">
      <c r="B81" s="112">
        <v>2071</v>
      </c>
      <c r="C81" s="113" t="s">
        <v>32</v>
      </c>
      <c r="D81" s="113">
        <f>-N(-2264445.59)</f>
        <v>2264445.59</v>
      </c>
      <c r="E81" s="113">
        <f t="shared" si="11"/>
        <v>0</v>
      </c>
      <c r="F81" s="114">
        <f t="shared" si="12"/>
        <v>2264445.59</v>
      </c>
      <c r="G81" s="114">
        <f>IFERROR(--83022.5,0)</f>
        <v>83022.5</v>
      </c>
      <c r="H81" s="115">
        <f t="shared" si="10"/>
        <v>2347468.09</v>
      </c>
    </row>
    <row r="82" spans="2:8" hidden="1" outlineLevel="2">
      <c r="B82" s="112">
        <v>2072</v>
      </c>
      <c r="C82" s="113" t="s">
        <v>33</v>
      </c>
      <c r="D82" s="113">
        <f>-N(-3070004.17)</f>
        <v>3070004.17</v>
      </c>
      <c r="E82" s="113">
        <f t="shared" si="11"/>
        <v>0</v>
      </c>
      <c r="F82" s="114">
        <f t="shared" si="12"/>
        <v>3070004.17</v>
      </c>
      <c r="G82" s="114">
        <f>IFERROR(-1855924.08,0)</f>
        <v>-1855924.08</v>
      </c>
      <c r="H82" s="115">
        <f t="shared" si="10"/>
        <v>1214080.0899999999</v>
      </c>
    </row>
    <row r="83" spans="2:8" hidden="1" outlineLevel="2">
      <c r="B83" s="112">
        <v>2073</v>
      </c>
      <c r="C83" s="113" t="s">
        <v>50</v>
      </c>
      <c r="D83" s="113">
        <f>-N(-111819.99)</f>
        <v>111819.99</v>
      </c>
      <c r="E83" s="113">
        <f t="shared" si="11"/>
        <v>0</v>
      </c>
      <c r="F83" s="114">
        <f t="shared" si="12"/>
        <v>111819.99</v>
      </c>
      <c r="G83" s="114">
        <f>IFERROR(-309260.88,0)</f>
        <v>-309260.88</v>
      </c>
      <c r="H83" s="115">
        <f t="shared" si="10"/>
        <v>-197440.89</v>
      </c>
    </row>
    <row r="84" spans="2:8">
      <c r="B84" s="122" t="s">
        <v>291</v>
      </c>
      <c r="C84" s="113"/>
      <c r="D84" s="113"/>
      <c r="E84" s="113">
        <f>-N(0)</f>
        <v>0</v>
      </c>
      <c r="F84" s="114">
        <f>IFERROR(D84+E84,"")</f>
        <v>0</v>
      </c>
      <c r="G84" s="114">
        <f>IFERROR(0,0)</f>
        <v>0</v>
      </c>
      <c r="H84" s="115">
        <f>IFERROR(F84+G84,0)</f>
        <v>0</v>
      </c>
    </row>
    <row r="85" spans="2:8">
      <c r="B85" s="48" t="str">
        <f>"Sum " &amp; LOWER("Egenkapital")</f>
        <v>Sum egenkapital</v>
      </c>
      <c r="C85" s="49"/>
      <c r="D85" s="49"/>
      <c r="E85" s="49"/>
      <c r="F85" s="123">
        <f t="shared" ref="F85:H85" si="14">SUM(F74)+SUM(F84)</f>
        <v>75308517.739999995</v>
      </c>
      <c r="G85" s="123">
        <f t="shared" si="14"/>
        <v>661160.72999999986</v>
      </c>
      <c r="H85" s="116">
        <f t="shared" si="14"/>
        <v>75969678.469999999</v>
      </c>
    </row>
    <row r="86" spans="2:8" ht="9.75" customHeight="1">
      <c r="B86" s="23"/>
      <c r="C86" s="1"/>
      <c r="D86" s="1"/>
      <c r="E86" s="1"/>
      <c r="F86" s="108"/>
      <c r="G86" s="108"/>
      <c r="H86" s="109"/>
    </row>
    <row r="87" spans="2:8" collapsed="1">
      <c r="B87" s="57" t="s">
        <v>292</v>
      </c>
      <c r="F87" s="108"/>
      <c r="G87" s="108"/>
      <c r="H87" s="109"/>
    </row>
    <row r="88" spans="2:8" hidden="1" outlineLevel="1" collapsed="1">
      <c r="B88" s="110" t="str">
        <f>"    "&amp;"Avsetning for forpliktelser"</f>
        <v xml:space="preserve">    Avsetning for forpliktelser</v>
      </c>
      <c r="F88" s="76">
        <f t="shared" ref="F88:G88" si="15">IFERROR(SUM(F89:F91),0)</f>
        <v>-148963.14000000001</v>
      </c>
      <c r="G88" s="76">
        <f t="shared" si="15"/>
        <v>-153905.33999999997</v>
      </c>
      <c r="H88" s="111">
        <f t="shared" ref="H88:H91" si="16">IFERROR(F88+G88,0)</f>
        <v>-302868.47999999998</v>
      </c>
    </row>
    <row r="89" spans="2:8" hidden="1" outlineLevel="2">
      <c r="B89" s="112">
        <v>2100</v>
      </c>
      <c r="C89" s="113" t="s">
        <v>293</v>
      </c>
      <c r="D89" s="113">
        <f>-N(-818168)</f>
        <v>818168</v>
      </c>
      <c r="E89" s="113">
        <f t="shared" ref="E89:E91" si="17">-N(0)</f>
        <v>0</v>
      </c>
      <c r="F89" s="114">
        <f t="shared" ref="F89:F91" si="18">IFERROR(D89+E89,"")</f>
        <v>818168</v>
      </c>
      <c r="G89" s="114">
        <f>IFERROR(--196838,0)</f>
        <v>196838</v>
      </c>
      <c r="H89" s="115">
        <f t="shared" si="16"/>
        <v>1015006</v>
      </c>
    </row>
    <row r="90" spans="2:8" hidden="1" outlineLevel="2">
      <c r="B90" s="112">
        <v>2101</v>
      </c>
      <c r="C90" s="113" t="s">
        <v>294</v>
      </c>
      <c r="D90" s="113">
        <f>-N(1115064.53)</f>
        <v>-1115064.53</v>
      </c>
      <c r="E90" s="113">
        <f t="shared" si="17"/>
        <v>0</v>
      </c>
      <c r="F90" s="114">
        <f t="shared" si="18"/>
        <v>-1115064.53</v>
      </c>
      <c r="G90" s="114">
        <f>IFERROR(-230441.33,0)</f>
        <v>-230441.33</v>
      </c>
      <c r="H90" s="115">
        <f t="shared" si="16"/>
        <v>-1345505.86</v>
      </c>
    </row>
    <row r="91" spans="2:8" hidden="1" outlineLevel="2">
      <c r="B91" s="112">
        <v>2102</v>
      </c>
      <c r="C91" s="113" t="s">
        <v>295</v>
      </c>
      <c r="D91" s="113">
        <f>-N(-147933.39)</f>
        <v>147933.39000000001</v>
      </c>
      <c r="E91" s="113">
        <f t="shared" si="17"/>
        <v>0</v>
      </c>
      <c r="F91" s="114">
        <f t="shared" si="18"/>
        <v>147933.39000000001</v>
      </c>
      <c r="G91" s="114">
        <f>IFERROR(-120302.01,0)</f>
        <v>-120302.01</v>
      </c>
      <c r="H91" s="115">
        <f t="shared" si="16"/>
        <v>27631.380000000019</v>
      </c>
    </row>
    <row r="92" spans="2:8">
      <c r="B92" s="48" t="str">
        <f>"Sum " &amp; LOWER("Avsetning for forpliktelser")</f>
        <v>Sum avsetning for forpliktelser</v>
      </c>
      <c r="C92" s="49"/>
      <c r="D92" s="49"/>
      <c r="E92" s="49"/>
      <c r="F92" s="51">
        <f t="shared" ref="F92:H92" si="19">SUM(F88)</f>
        <v>-148963.14000000001</v>
      </c>
      <c r="G92" s="51">
        <f t="shared" si="19"/>
        <v>-153905.33999999997</v>
      </c>
      <c r="H92" s="116">
        <f t="shared" si="19"/>
        <v>-302868.47999999998</v>
      </c>
    </row>
    <row r="93" spans="2:8" ht="15" customHeight="1">
      <c r="B93" s="23"/>
      <c r="C93" s="1"/>
      <c r="D93" s="1"/>
      <c r="E93" s="1"/>
      <c r="F93" s="108"/>
      <c r="G93" s="108"/>
      <c r="H93" s="109"/>
    </row>
    <row r="94" spans="2:8" collapsed="1">
      <c r="B94" s="57" t="s">
        <v>296</v>
      </c>
      <c r="F94" s="108"/>
      <c r="G94" s="108"/>
      <c r="H94" s="109"/>
    </row>
    <row r="95" spans="2:8" hidden="1" outlineLevel="1" collapsed="1">
      <c r="B95" s="110" t="str">
        <f>"    "&amp;"Leverandørgjeld"</f>
        <v xml:space="preserve">    Leverandørgjeld</v>
      </c>
      <c r="F95" s="76">
        <f t="shared" ref="F95:G95" si="20">IFERROR(SUM(F96:F97),0)</f>
        <v>1116855.1100000001</v>
      </c>
      <c r="G95" s="76">
        <f t="shared" si="20"/>
        <v>2133017.2400000002</v>
      </c>
      <c r="H95" s="111">
        <f t="shared" ref="H95:H114" si="21">IFERROR(F95+G95,0)</f>
        <v>3249872.3500000006</v>
      </c>
    </row>
    <row r="96" spans="2:8" hidden="1" outlineLevel="2">
      <c r="B96" s="112">
        <v>2400</v>
      </c>
      <c r="C96" s="113" t="s">
        <v>297</v>
      </c>
      <c r="D96" s="113">
        <f>-N(-1116855.11)</f>
        <v>1116855.1100000001</v>
      </c>
      <c r="E96" s="113">
        <f t="shared" ref="E96:E97" si="22">-N(0)</f>
        <v>0</v>
      </c>
      <c r="F96" s="114">
        <f t="shared" ref="F96:F97" si="23">IFERROR(D96+E96,"")</f>
        <v>1116855.1100000001</v>
      </c>
      <c r="G96" s="114">
        <f>IFERROR(--2133017.24,0)</f>
        <v>2133017.2400000002</v>
      </c>
      <c r="H96" s="115">
        <f t="shared" si="21"/>
        <v>3249872.3500000006</v>
      </c>
    </row>
    <row r="97" spans="2:8" hidden="1" outlineLevel="2">
      <c r="B97" s="112">
        <v>2405</v>
      </c>
      <c r="C97" s="113" t="s">
        <v>298</v>
      </c>
      <c r="D97" s="113">
        <f>-N(0)</f>
        <v>0</v>
      </c>
      <c r="E97" s="113">
        <f t="shared" si="22"/>
        <v>0</v>
      </c>
      <c r="F97" s="114">
        <f t="shared" si="23"/>
        <v>0</v>
      </c>
      <c r="G97" s="114">
        <f>IFERROR(0,0)</f>
        <v>0</v>
      </c>
      <c r="H97" s="115">
        <f t="shared" si="21"/>
        <v>0</v>
      </c>
    </row>
    <row r="98" spans="2:8" hidden="1" outlineLevel="1" collapsed="1">
      <c r="B98" s="110" t="str">
        <f>"    "&amp;"Skattetrekk og andre trekk"</f>
        <v xml:space="preserve">    Skattetrekk og andre trekk</v>
      </c>
      <c r="F98" s="76">
        <f t="shared" ref="F98:G98" si="24">IFERROR(SUM(F99),0)</f>
        <v>507467</v>
      </c>
      <c r="G98" s="76">
        <f t="shared" si="24"/>
        <v>-31943</v>
      </c>
      <c r="H98" s="111">
        <f t="shared" si="21"/>
        <v>475524</v>
      </c>
    </row>
    <row r="99" spans="2:8" hidden="1" outlineLevel="2">
      <c r="B99" s="112">
        <v>2600</v>
      </c>
      <c r="C99" s="113" t="s">
        <v>299</v>
      </c>
      <c r="D99" s="113">
        <f>-N(-507467)</f>
        <v>507467</v>
      </c>
      <c r="E99" s="113">
        <f>-N(0)</f>
        <v>0</v>
      </c>
      <c r="F99" s="114">
        <f>IFERROR(D99+E99,"")</f>
        <v>507467</v>
      </c>
      <c r="G99" s="114">
        <f>IFERROR(-31943,0)</f>
        <v>-31943</v>
      </c>
      <c r="H99" s="115">
        <f t="shared" si="21"/>
        <v>475524</v>
      </c>
    </row>
    <row r="100" spans="2:8" hidden="1" outlineLevel="1" collapsed="1">
      <c r="B100" s="110" t="str">
        <f>"    "&amp;"Skyldige offentlige avgifter"</f>
        <v xml:space="preserve">    Skyldige offentlige avgifter</v>
      </c>
      <c r="F100" s="76">
        <f t="shared" ref="F100:G100" si="25">IFERROR(SUM(F101:F102),0)</f>
        <v>452110</v>
      </c>
      <c r="G100" s="76">
        <f t="shared" si="25"/>
        <v>63426.939999999995</v>
      </c>
      <c r="H100" s="111">
        <f t="shared" si="21"/>
        <v>515536.94</v>
      </c>
    </row>
    <row r="101" spans="2:8" hidden="1" outlineLevel="2">
      <c r="B101" s="112">
        <v>2770</v>
      </c>
      <c r="C101" s="113" t="s">
        <v>300</v>
      </c>
      <c r="D101" s="113">
        <f>-N(-278405)</f>
        <v>278405</v>
      </c>
      <c r="E101" s="113">
        <f t="shared" ref="E101:E102" si="26">-N(0)</f>
        <v>0</v>
      </c>
      <c r="F101" s="114">
        <f t="shared" ref="F101:F102" si="27">IFERROR(D101+E101,"")</f>
        <v>278405</v>
      </c>
      <c r="G101" s="114">
        <f>IFERROR(--49255.77,0)</f>
        <v>49255.77</v>
      </c>
      <c r="H101" s="115">
        <f t="shared" si="21"/>
        <v>327660.77</v>
      </c>
    </row>
    <row r="102" spans="2:8" hidden="1" outlineLevel="2">
      <c r="B102" s="112">
        <v>2780</v>
      </c>
      <c r="C102" s="113" t="s">
        <v>301</v>
      </c>
      <c r="D102" s="113">
        <f>-N(-173705)</f>
        <v>173705</v>
      </c>
      <c r="E102" s="113">
        <f t="shared" si="26"/>
        <v>0</v>
      </c>
      <c r="F102" s="114">
        <f t="shared" si="27"/>
        <v>173705</v>
      </c>
      <c r="G102" s="114">
        <f>IFERROR(--14171.17,0)</f>
        <v>14171.17</v>
      </c>
      <c r="H102" s="115">
        <f t="shared" si="21"/>
        <v>187876.17</v>
      </c>
    </row>
    <row r="103" spans="2:8" hidden="1" outlineLevel="1" collapsed="1">
      <c r="B103" s="110" t="str">
        <f>"    "&amp;"Annen kortsiktig gjeld"</f>
        <v xml:space="preserve">    Annen kortsiktig gjeld</v>
      </c>
      <c r="F103" s="76">
        <f t="shared" ref="F103:G103" si="28">IFERROR(SUM(F104:F114),0)</f>
        <v>3082472.5300000003</v>
      </c>
      <c r="G103" s="76">
        <f t="shared" si="28"/>
        <v>759913.09</v>
      </c>
      <c r="H103" s="111">
        <f t="shared" si="21"/>
        <v>3842385.62</v>
      </c>
    </row>
    <row r="104" spans="2:8" hidden="1" outlineLevel="2">
      <c r="B104" s="112">
        <v>1780</v>
      </c>
      <c r="C104" s="113" t="s">
        <v>302</v>
      </c>
      <c r="D104" s="113">
        <f>-N(-369031)</f>
        <v>369031</v>
      </c>
      <c r="E104" s="113">
        <f t="shared" ref="E104:E114" si="29">-N(0)</f>
        <v>0</v>
      </c>
      <c r="F104" s="114">
        <f t="shared" ref="F104:F114" si="30">IFERROR(D104+E104,"")</f>
        <v>369031</v>
      </c>
      <c r="G104" s="114">
        <f>IFERROR(-369031,0)</f>
        <v>-369031</v>
      </c>
      <c r="H104" s="115">
        <f t="shared" si="21"/>
        <v>0</v>
      </c>
    </row>
    <row r="105" spans="2:8" hidden="1" outlineLevel="2">
      <c r="B105" s="112">
        <v>1932</v>
      </c>
      <c r="C105" s="113" t="s">
        <v>303</v>
      </c>
      <c r="D105" s="113">
        <f>-N(-28298.44)</f>
        <v>28298.44</v>
      </c>
      <c r="E105" s="113">
        <f t="shared" si="29"/>
        <v>0</v>
      </c>
      <c r="F105" s="114">
        <f t="shared" si="30"/>
        <v>28298.44</v>
      </c>
      <c r="G105" s="114">
        <f>IFERROR(-28298.44,0)</f>
        <v>-28298.44</v>
      </c>
      <c r="H105" s="115">
        <f t="shared" si="21"/>
        <v>0</v>
      </c>
    </row>
    <row r="106" spans="2:8" hidden="1" outlineLevel="2">
      <c r="B106" s="112">
        <v>1933</v>
      </c>
      <c r="C106" s="113" t="s">
        <v>304</v>
      </c>
      <c r="D106" s="113">
        <f>-N(-5334.56)</f>
        <v>5334.56</v>
      </c>
      <c r="E106" s="113">
        <f t="shared" si="29"/>
        <v>0</v>
      </c>
      <c r="F106" s="114">
        <f t="shared" si="30"/>
        <v>5334.56</v>
      </c>
      <c r="G106" s="114">
        <f>IFERROR(-189.69,0)</f>
        <v>-189.69</v>
      </c>
      <c r="H106" s="115">
        <f t="shared" si="21"/>
        <v>5144.8700000000008</v>
      </c>
    </row>
    <row r="107" spans="2:8" hidden="1" outlineLevel="2">
      <c r="B107" s="112">
        <v>2900</v>
      </c>
      <c r="C107" s="113" t="s">
        <v>305</v>
      </c>
      <c r="D107" s="113">
        <f t="shared" ref="D107:D108" si="31">-N(0)</f>
        <v>0</v>
      </c>
      <c r="E107" s="113">
        <f t="shared" si="29"/>
        <v>0</v>
      </c>
      <c r="F107" s="114">
        <f t="shared" si="30"/>
        <v>0</v>
      </c>
      <c r="G107" s="114">
        <f>IFERROR(--6343,0)</f>
        <v>6343</v>
      </c>
      <c r="H107" s="115">
        <f t="shared" si="21"/>
        <v>6343</v>
      </c>
    </row>
    <row r="108" spans="2:8" hidden="1" outlineLevel="2">
      <c r="B108" s="112">
        <v>2920</v>
      </c>
      <c r="C108" s="113" t="s">
        <v>306</v>
      </c>
      <c r="D108" s="113">
        <f t="shared" si="31"/>
        <v>0</v>
      </c>
      <c r="E108" s="113">
        <f t="shared" si="29"/>
        <v>0</v>
      </c>
      <c r="F108" s="114">
        <f t="shared" si="30"/>
        <v>0</v>
      </c>
      <c r="G108" s="114">
        <f>IFERROR(0,0)</f>
        <v>0</v>
      </c>
      <c r="H108" s="115">
        <f t="shared" si="21"/>
        <v>0</v>
      </c>
    </row>
    <row r="109" spans="2:8" hidden="1" outlineLevel="2">
      <c r="B109" s="112">
        <v>2940</v>
      </c>
      <c r="C109" s="113" t="s">
        <v>92</v>
      </c>
      <c r="D109" s="113">
        <f>-N(-1527676)</f>
        <v>1527676</v>
      </c>
      <c r="E109" s="113">
        <f t="shared" si="29"/>
        <v>0</v>
      </c>
      <c r="F109" s="114">
        <f t="shared" si="30"/>
        <v>1527676</v>
      </c>
      <c r="G109" s="114">
        <f>IFERROR(--140647.73,0)</f>
        <v>140647.73000000001</v>
      </c>
      <c r="H109" s="115">
        <f t="shared" si="21"/>
        <v>1668323.73</v>
      </c>
    </row>
    <row r="110" spans="2:8" hidden="1" outlineLevel="2">
      <c r="B110" s="112">
        <v>2960</v>
      </c>
      <c r="C110" s="113" t="s">
        <v>307</v>
      </c>
      <c r="D110" s="113">
        <f>-N(-768738.74)</f>
        <v>768738.74</v>
      </c>
      <c r="E110" s="113">
        <f t="shared" si="29"/>
        <v>0</v>
      </c>
      <c r="F110" s="114">
        <f t="shared" si="30"/>
        <v>768738.74</v>
      </c>
      <c r="G110" s="114">
        <f>IFERROR(-768738.74,0)</f>
        <v>-768738.74</v>
      </c>
      <c r="H110" s="115">
        <f t="shared" si="21"/>
        <v>0</v>
      </c>
    </row>
    <row r="111" spans="2:8" hidden="1" outlineLevel="2">
      <c r="B111" s="112">
        <v>2965</v>
      </c>
      <c r="C111" s="113" t="s">
        <v>308</v>
      </c>
      <c r="D111" s="113">
        <f>-N(0)</f>
        <v>0</v>
      </c>
      <c r="E111" s="113">
        <f t="shared" si="29"/>
        <v>0</v>
      </c>
      <c r="F111" s="114">
        <f t="shared" si="30"/>
        <v>0</v>
      </c>
      <c r="G111" s="114">
        <f>IFERROR(--912606.21,0)</f>
        <v>912606.21</v>
      </c>
      <c r="H111" s="115">
        <f t="shared" si="21"/>
        <v>912606.21</v>
      </c>
    </row>
    <row r="112" spans="2:8" hidden="1" outlineLevel="2">
      <c r="B112" s="112">
        <v>2970</v>
      </c>
      <c r="C112" s="113" t="s">
        <v>309</v>
      </c>
      <c r="D112" s="113">
        <f>-N(-25250)</f>
        <v>25250</v>
      </c>
      <c r="E112" s="113">
        <f t="shared" si="29"/>
        <v>0</v>
      </c>
      <c r="F112" s="114">
        <f t="shared" si="30"/>
        <v>25250</v>
      </c>
      <c r="G112" s="114">
        <f>IFERROR(-25250,0)</f>
        <v>-25250</v>
      </c>
      <c r="H112" s="115">
        <f t="shared" si="21"/>
        <v>0</v>
      </c>
    </row>
    <row r="113" spans="2:8" hidden="1" outlineLevel="2">
      <c r="B113" s="112">
        <v>2988</v>
      </c>
      <c r="C113" s="113" t="s">
        <v>310</v>
      </c>
      <c r="D113" s="113">
        <f>-N(0)</f>
        <v>0</v>
      </c>
      <c r="E113" s="113">
        <f t="shared" si="29"/>
        <v>0</v>
      </c>
      <c r="F113" s="114">
        <f t="shared" si="30"/>
        <v>0</v>
      </c>
      <c r="G113" s="114">
        <f>IFERROR(0,0)</f>
        <v>0</v>
      </c>
      <c r="H113" s="115">
        <f t="shared" si="21"/>
        <v>0</v>
      </c>
    </row>
    <row r="114" spans="2:8" hidden="1" outlineLevel="2">
      <c r="B114" s="112">
        <v>2993</v>
      </c>
      <c r="C114" s="113" t="s">
        <v>312</v>
      </c>
      <c r="D114" s="113">
        <f>-N(-358143.79)</f>
        <v>358143.79</v>
      </c>
      <c r="E114" s="113">
        <f t="shared" si="29"/>
        <v>0</v>
      </c>
      <c r="F114" s="114">
        <f t="shared" si="30"/>
        <v>358143.79</v>
      </c>
      <c r="G114" s="114">
        <f>IFERROR(--891824.02,0)</f>
        <v>891824.02</v>
      </c>
      <c r="H114" s="115">
        <f t="shared" si="21"/>
        <v>1249967.81</v>
      </c>
    </row>
    <row r="115" spans="2:8">
      <c r="B115" s="48" t="str">
        <f>"Sum " &amp; LOWER("Kortsiktig gjeld")</f>
        <v>Sum kortsiktig gjeld</v>
      </c>
      <c r="C115" s="49"/>
      <c r="D115" s="49"/>
      <c r="E115" s="49"/>
      <c r="F115" s="51">
        <f ca="1">SUM(OSRRefF25_1x_0)</f>
        <v>5158904.6400000006</v>
      </c>
      <c r="G115" s="51">
        <f ca="1">SUM(OSRRefG25_1x_0)</f>
        <v>2924414.27</v>
      </c>
      <c r="H115" s="116">
        <f ca="1">SUM(OSRRefH25_1x_0)</f>
        <v>8083318.9100000011</v>
      </c>
    </row>
    <row r="116" spans="2:8" ht="15" customHeight="1">
      <c r="B116" s="23"/>
      <c r="C116" s="1"/>
      <c r="D116" s="1"/>
      <c r="E116" s="1"/>
      <c r="F116" s="108"/>
      <c r="G116" s="108"/>
      <c r="H116" s="109"/>
    </row>
    <row r="117" spans="2:8">
      <c r="B117" s="117" t="s">
        <v>313</v>
      </c>
      <c r="C117" s="118"/>
      <c r="D117" s="118"/>
      <c r="E117" s="118"/>
      <c r="F117" s="119">
        <f t="shared" ref="F117:H117" ca="1" si="32">SUM(F85)+SUM(F92,F115)</f>
        <v>80318459.239999995</v>
      </c>
      <c r="G117" s="119">
        <f t="shared" ca="1" si="32"/>
        <v>3431669.66</v>
      </c>
      <c r="H117" s="124">
        <f t="shared" ca="1" si="32"/>
        <v>83750128.900000006</v>
      </c>
    </row>
    <row r="119" spans="2:8">
      <c r="C119" s="97"/>
    </row>
  </sheetData>
  <pageMargins left="0.25" right="0.25" top="0.75" bottom="0.75" header="0.3" footer="0.3"/>
  <pageSetup paperSize="9" scale="96" fitToHeight="0" orientation="portrait"/>
  <headerFooter>
    <oddFooter>&amp;RSide &amp;P av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41A99-B7E1-441A-A55C-7B4DC7672E04}">
  <dimension ref="A1:N21"/>
  <sheetViews>
    <sheetView topLeftCell="A5" workbookViewId="0">
      <selection activeCell="M12" sqref="M12:Y12"/>
    </sheetView>
  </sheetViews>
  <sheetFormatPr defaultColWidth="11.42578125" defaultRowHeight="14.45"/>
  <cols>
    <col min="2" max="2" width="11.7109375" bestFit="1" customWidth="1"/>
    <col min="3" max="5" width="12.7109375" bestFit="1" customWidth="1"/>
    <col min="9" max="11" width="13.7109375" bestFit="1" customWidth="1"/>
  </cols>
  <sheetData>
    <row r="1" spans="1:14" ht="43.15">
      <c r="A1" s="1" t="s">
        <v>227</v>
      </c>
      <c r="B1" s="163" t="str">
        <f>1&amp;" "&amp;"Internasjonal"</f>
        <v>1 Internasjonal</v>
      </c>
      <c r="C1" s="163" t="str">
        <f>2&amp;" "&amp;"Drift"</f>
        <v>2 Drift</v>
      </c>
      <c r="D1" s="163" t="str">
        <f>3&amp;" "&amp;"Magasin"</f>
        <v>3 Magasin</v>
      </c>
      <c r="E1" s="163" t="str">
        <f>4&amp;" "&amp;"Utviklingsfond"</f>
        <v>4 Utviklingsfond</v>
      </c>
      <c r="F1" s="163" t="str">
        <f>5&amp;" "&amp;"Videre"</f>
        <v>5 Videre</v>
      </c>
      <c r="G1" s="163" t="str">
        <f>6&amp;" "&amp;"Menighet"</f>
        <v>6 Menighet</v>
      </c>
      <c r="H1" s="163" t="str">
        <f>14&amp;" "&amp;"Skoledrift"</f>
        <v>14 Skoledrift</v>
      </c>
      <c r="I1" s="163" t="str">
        <f>15&amp;" "&amp;"Tilsyn"</f>
        <v>15 Tilsyn</v>
      </c>
      <c r="J1" s="163" t="str">
        <f>16&amp;" "&amp;"Pensjonskassen"</f>
        <v>16 Pensjonskassen</v>
      </c>
      <c r="K1" s="163" t="str">
        <f>17&amp;" "&amp;"Synodal"</f>
        <v>17 Synodal</v>
      </c>
      <c r="L1" s="163" t="str">
        <f>18&amp;" "&amp;"Nasjonal"</f>
        <v>18 Nasjonal</v>
      </c>
      <c r="M1" s="163" t="str">
        <f>19&amp;" "&amp;"Barn og Unge"</f>
        <v>19 Barn og Unge</v>
      </c>
      <c r="N1" s="164" t="s">
        <v>25</v>
      </c>
    </row>
    <row r="2" spans="1:14">
      <c r="A2">
        <v>2021</v>
      </c>
      <c r="B2">
        <v>707610.65999999747</v>
      </c>
      <c r="C2">
        <v>1671562.6300000013</v>
      </c>
      <c r="D2">
        <v>0</v>
      </c>
      <c r="E2">
        <v>740114.91999999969</v>
      </c>
      <c r="F2">
        <v>-253314.15000000002</v>
      </c>
      <c r="G2">
        <v>128114.92999999993</v>
      </c>
      <c r="H2">
        <v>-0.18000000005122274</v>
      </c>
      <c r="I2">
        <v>219832.37999999989</v>
      </c>
      <c r="J2">
        <v>29646.390000000014</v>
      </c>
      <c r="K2">
        <v>-442490.31</v>
      </c>
      <c r="L2">
        <v>540702.21</v>
      </c>
      <c r="M2">
        <v>-0.87999999942258</v>
      </c>
      <c r="N2">
        <v>3341778.5999999912</v>
      </c>
    </row>
    <row r="3" spans="1:14">
      <c r="A3">
        <v>2022</v>
      </c>
      <c r="B3">
        <v>37127.339999999836</v>
      </c>
      <c r="C3">
        <v>1464344.5799999998</v>
      </c>
      <c r="D3">
        <v>-372576.36</v>
      </c>
      <c r="E3">
        <v>-1026004.4200000004</v>
      </c>
      <c r="F3">
        <v>-663843.44999999972</v>
      </c>
      <c r="G3">
        <v>168149.97999999998</v>
      </c>
      <c r="H3">
        <v>-0.84000000008381903</v>
      </c>
      <c r="I3">
        <v>-334877</v>
      </c>
      <c r="J3">
        <v>341153.4</v>
      </c>
      <c r="K3">
        <v>-271200.75000000012</v>
      </c>
      <c r="L3">
        <v>266229.16999999993</v>
      </c>
      <c r="M3">
        <v>-2054.3999999999069</v>
      </c>
      <c r="N3">
        <v>-393552.7499999993</v>
      </c>
    </row>
    <row r="4" spans="1:14">
      <c r="A4">
        <v>2023</v>
      </c>
      <c r="B4">
        <v>-2023902.2400000028</v>
      </c>
      <c r="C4">
        <v>4297334.7600000016</v>
      </c>
      <c r="D4">
        <v>-78214.160000000033</v>
      </c>
      <c r="E4">
        <v>-2158356.4700000007</v>
      </c>
      <c r="F4">
        <v>-666718.91999999969</v>
      </c>
      <c r="G4">
        <v>5075.2700000000186</v>
      </c>
      <c r="H4">
        <v>-121649.78000000003</v>
      </c>
      <c r="I4">
        <v>-104254.6100000002</v>
      </c>
      <c r="J4">
        <v>-90272.75</v>
      </c>
      <c r="K4">
        <v>2933698.79</v>
      </c>
      <c r="L4">
        <v>-441249.61999999918</v>
      </c>
      <c r="M4">
        <v>-2331.2000000001863</v>
      </c>
      <c r="N4">
        <v>1549159.0700000054</v>
      </c>
    </row>
    <row r="7" spans="1:14">
      <c r="C7" s="182" t="s">
        <v>227</v>
      </c>
      <c r="D7" s="182"/>
      <c r="E7" s="182"/>
      <c r="H7" s="1" t="s">
        <v>15</v>
      </c>
    </row>
    <row r="8" spans="1:14">
      <c r="C8" s="1">
        <v>2021</v>
      </c>
      <c r="D8" s="1">
        <v>2022</v>
      </c>
      <c r="E8" s="1">
        <v>2023</v>
      </c>
      <c r="I8" s="1">
        <v>2021</v>
      </c>
      <c r="J8" s="1">
        <v>2022</v>
      </c>
      <c r="K8" s="1">
        <v>2023</v>
      </c>
    </row>
    <row r="9" spans="1:14">
      <c r="B9" s="1" t="str">
        <f>1&amp;" "&amp;"Internasjonal"</f>
        <v>1 Internasjonal</v>
      </c>
      <c r="C9" s="165">
        <v>707610.65999999747</v>
      </c>
      <c r="D9" s="165">
        <v>37127.339999999836</v>
      </c>
      <c r="E9" s="165">
        <v>-1772901.5800000026</v>
      </c>
      <c r="H9" s="1" t="str">
        <f>1&amp;" "&amp;"Internasjonal"</f>
        <v>1 Internasjonal</v>
      </c>
      <c r="I9" s="4">
        <v>15692641.530000001</v>
      </c>
      <c r="J9" s="4">
        <v>14945729.649999999</v>
      </c>
      <c r="K9" s="4">
        <v>17108690.020000003</v>
      </c>
    </row>
    <row r="10" spans="1:14">
      <c r="B10" s="1" t="str">
        <f>2&amp;" "&amp;"Drift"</f>
        <v>2 Drift</v>
      </c>
      <c r="C10" s="165">
        <v>1671562.6300000013</v>
      </c>
      <c r="D10" s="165">
        <v>1464344.5799999998</v>
      </c>
      <c r="E10" s="165">
        <v>3155480.7600000012</v>
      </c>
      <c r="H10" s="1" t="str">
        <f>2&amp;" "&amp;"Drift"</f>
        <v>2 Drift</v>
      </c>
      <c r="I10" s="4">
        <v>8092794.1999999993</v>
      </c>
      <c r="J10" s="4">
        <v>8464408.6600000001</v>
      </c>
      <c r="K10" s="4">
        <v>7963769.9900000002</v>
      </c>
    </row>
    <row r="11" spans="1:14">
      <c r="B11" s="1" t="str">
        <f>3&amp;" "&amp;"Magasin"</f>
        <v>3 Magasin</v>
      </c>
      <c r="C11" s="165">
        <v>0</v>
      </c>
      <c r="D11" s="165">
        <v>-372576.36</v>
      </c>
      <c r="E11" s="165">
        <v>-78214.160000000033</v>
      </c>
      <c r="H11" s="1" t="str">
        <f>3&amp;" "&amp;"Magasin"</f>
        <v>3 Magasin</v>
      </c>
      <c r="I11" s="4">
        <v>0</v>
      </c>
      <c r="J11" s="4">
        <v>396229.61</v>
      </c>
      <c r="K11" s="4">
        <v>582083.03</v>
      </c>
    </row>
    <row r="12" spans="1:14">
      <c r="B12" s="1" t="str">
        <f>4&amp;" "&amp;"Utviklingsfond"</f>
        <v>4 Utviklingsfond</v>
      </c>
      <c r="C12" s="165">
        <v>740114.91999999969</v>
      </c>
      <c r="D12" s="165">
        <v>-1026004.4200000004</v>
      </c>
      <c r="E12" s="165">
        <v>-2158356.4700000007</v>
      </c>
      <c r="H12" s="1" t="str">
        <f>4&amp;" "&amp;"Utviklingsfond"</f>
        <v>4 Utviklingsfond</v>
      </c>
      <c r="I12" s="4">
        <v>3980800</v>
      </c>
      <c r="J12" s="4">
        <v>5499560</v>
      </c>
      <c r="K12" s="4">
        <v>7358439.8300000001</v>
      </c>
    </row>
    <row r="13" spans="1:14">
      <c r="B13" s="1" t="str">
        <f>5&amp;" "&amp;"Videre"</f>
        <v>5 Videre</v>
      </c>
      <c r="C13" s="165">
        <v>-253314.15000000002</v>
      </c>
      <c r="D13" s="165">
        <v>-663843.44999999972</v>
      </c>
      <c r="E13" s="165">
        <v>-666718.91999999969</v>
      </c>
      <c r="H13" s="1" t="str">
        <f>5&amp;" "&amp;"Videre"</f>
        <v>5 Videre</v>
      </c>
      <c r="I13" s="4">
        <v>723549.25</v>
      </c>
      <c r="J13" s="4">
        <v>2444603.0499999998</v>
      </c>
      <c r="K13" s="4">
        <v>2631689.8699999996</v>
      </c>
    </row>
    <row r="14" spans="1:14">
      <c r="B14" s="1" t="str">
        <f>6&amp;" "&amp;"Menighet"</f>
        <v>6 Menighet</v>
      </c>
      <c r="C14" s="165">
        <v>128114.92999999993</v>
      </c>
      <c r="D14" s="165">
        <v>168149.97999999998</v>
      </c>
      <c r="E14" s="165">
        <v>5075.2700000000186</v>
      </c>
      <c r="H14" s="1" t="str">
        <f>6&amp;" "&amp;"Menighet"</f>
        <v>6 Menighet</v>
      </c>
      <c r="I14" s="4">
        <v>973341.28</v>
      </c>
      <c r="J14" s="4">
        <v>992028.02</v>
      </c>
      <c r="K14" s="4">
        <v>1074410.03</v>
      </c>
    </row>
    <row r="15" spans="1:14">
      <c r="B15" s="1" t="str">
        <f>14&amp;" "&amp;"Skoledrift"</f>
        <v>14 Skoledrift</v>
      </c>
      <c r="C15" s="165">
        <v>-0.18000000005122274</v>
      </c>
      <c r="D15" s="165">
        <v>-0.84000000008381903</v>
      </c>
      <c r="E15" s="165">
        <v>-121649.78000000003</v>
      </c>
      <c r="H15" s="1" t="str">
        <f>14&amp;" "&amp;"Skoledrift"</f>
        <v>14 Skoledrift</v>
      </c>
      <c r="I15" s="4">
        <v>598218.04</v>
      </c>
      <c r="J15" s="4">
        <v>634815.56000000006</v>
      </c>
      <c r="K15" s="4">
        <v>885600</v>
      </c>
    </row>
    <row r="16" spans="1:14">
      <c r="B16" s="1" t="str">
        <f>15&amp;" "&amp;"Tilsyn"</f>
        <v>15 Tilsyn</v>
      </c>
      <c r="C16" s="165">
        <v>219832.37999999989</v>
      </c>
      <c r="D16" s="165">
        <v>-334877</v>
      </c>
      <c r="E16" s="165">
        <v>-104254.6100000002</v>
      </c>
      <c r="H16" s="1" t="str">
        <f>15&amp;" "&amp;"Tilsyn"</f>
        <v>15 Tilsyn</v>
      </c>
      <c r="I16" s="4">
        <v>2715093.44</v>
      </c>
      <c r="J16" s="4">
        <v>3018531.77</v>
      </c>
      <c r="K16" s="4">
        <v>4034219.95</v>
      </c>
    </row>
    <row r="17" spans="2:11">
      <c r="B17" s="1" t="str">
        <f>16&amp;" "&amp;"Pensjonskassen"</f>
        <v>16 Pensjonskassen</v>
      </c>
      <c r="C17" s="165">
        <v>29646.390000000014</v>
      </c>
      <c r="D17" s="165">
        <v>341153.4</v>
      </c>
      <c r="E17" s="165">
        <v>-90272.75</v>
      </c>
      <c r="H17" s="1" t="str">
        <f>16&amp;" "&amp;"Pensjonskassen"</f>
        <v>16 Pensjonskassen</v>
      </c>
      <c r="I17" s="4">
        <v>184002.86</v>
      </c>
      <c r="J17" s="4">
        <v>-114434</v>
      </c>
      <c r="K17" s="4">
        <v>293992.81</v>
      </c>
    </row>
    <row r="18" spans="2:11">
      <c r="B18" s="1" t="str">
        <f>17&amp;" "&amp;"Synodal"</f>
        <v>17 Synodal</v>
      </c>
      <c r="C18" s="165">
        <v>-442490.31</v>
      </c>
      <c r="D18" s="165">
        <v>-271200.75000000012</v>
      </c>
      <c r="E18" s="165">
        <v>2939649.79</v>
      </c>
      <c r="H18" s="1" t="str">
        <f>17&amp;" "&amp;"Synodal"</f>
        <v>17 Synodal</v>
      </c>
      <c r="I18" s="4">
        <v>2707167.44</v>
      </c>
      <c r="J18" s="4">
        <v>3158414.06</v>
      </c>
      <c r="K18" s="4">
        <v>3484595.87</v>
      </c>
    </row>
    <row r="19" spans="2:11">
      <c r="B19" s="1" t="str">
        <f>18&amp;" "&amp;"Nasjonal"</f>
        <v>18 Nasjonal</v>
      </c>
      <c r="C19" s="165">
        <v>540702.21</v>
      </c>
      <c r="D19" s="165">
        <v>266229.16999999993</v>
      </c>
      <c r="E19" s="165">
        <v>-441249.61999999918</v>
      </c>
      <c r="H19" s="1" t="str">
        <f>18&amp;" "&amp;"Nasjonal"</f>
        <v>18 Nasjonal</v>
      </c>
      <c r="I19" s="4">
        <v>2658897.79</v>
      </c>
      <c r="J19" s="4">
        <v>3075960.83</v>
      </c>
      <c r="K19" s="4">
        <v>5125482.3999999994</v>
      </c>
    </row>
    <row r="20" spans="2:11">
      <c r="B20" s="1" t="str">
        <f>19&amp;" "&amp;"Barn og Unge"</f>
        <v>19 Barn og Unge</v>
      </c>
      <c r="C20" s="165">
        <v>-0.87999999942258</v>
      </c>
      <c r="D20" s="165">
        <v>-2054.3999999999069</v>
      </c>
      <c r="E20" s="165">
        <v>-2331.2000000001863</v>
      </c>
      <c r="H20" s="1" t="str">
        <f>19&amp;" "&amp;"Barn og Unge"</f>
        <v>19 Barn og Unge</v>
      </c>
      <c r="I20" s="4">
        <v>2350142.5299999998</v>
      </c>
      <c r="J20" s="4">
        <v>2495969.7999999998</v>
      </c>
      <c r="K20" s="4">
        <v>2497901.9300000002</v>
      </c>
    </row>
    <row r="21" spans="2:11">
      <c r="B21" s="1" t="s">
        <v>25</v>
      </c>
      <c r="C21" s="166">
        <v>3341778.5999999912</v>
      </c>
      <c r="D21" s="166">
        <v>-393552.7499999993</v>
      </c>
      <c r="E21" s="166">
        <v>664256.73000000184</v>
      </c>
      <c r="H21" s="1" t="s">
        <v>25</v>
      </c>
      <c r="I21" s="4">
        <v>40676648.359999999</v>
      </c>
      <c r="J21" s="4">
        <v>45011817.00999999</v>
      </c>
      <c r="K21" s="4">
        <v>53040875.729999997</v>
      </c>
    </row>
  </sheetData>
  <mergeCells count="1">
    <mergeCell ref="C7:E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896A8-7BB7-44C3-91A6-52E694934B41}">
  <sheetPr>
    <pageSetUpPr fitToPage="1"/>
  </sheetPr>
  <dimension ref="A1:P197"/>
  <sheetViews>
    <sheetView showGridLines="0" workbookViewId="0">
      <pane ySplit="5" topLeftCell="A169" activePane="bottomLeft" state="frozen"/>
      <selection pane="bottomLeft" activeCell="D170" sqref="D170:P170"/>
    </sheetView>
  </sheetViews>
  <sheetFormatPr defaultColWidth="11.42578125" defaultRowHeight="14.45" outlineLevelRow="2" outlineLevelCol="1"/>
  <cols>
    <col min="1" max="1" width="1.7109375" customWidth="1"/>
    <col min="2" max="2" width="16.140625" customWidth="1"/>
    <col min="3" max="3" width="18.85546875" customWidth="1"/>
    <col min="4" max="15" width="15.7109375" customWidth="1" outlineLevel="1"/>
    <col min="16" max="16" width="15.7109375" customWidth="1"/>
  </cols>
  <sheetData>
    <row r="1" spans="1:16" ht="9.9499999999999993" customHeigh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6" t="s">
        <v>314</v>
      </c>
    </row>
    <row r="2" spans="1:16" ht="18">
      <c r="A2" s="7"/>
      <c r="B2" s="8" t="s">
        <v>347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9">
        <v>45359.634131944447</v>
      </c>
    </row>
    <row r="3" spans="1:16" ht="15.6">
      <c r="B3" s="101" t="s">
        <v>316</v>
      </c>
    </row>
    <row r="4" spans="1:16" ht="11.25" customHeight="1"/>
    <row r="5" spans="1:16" ht="28.9">
      <c r="B5" s="103" t="str">
        <f>"Periode: "&amp;LEFT("202112",4)&amp;"01 - "&amp;"202112"</f>
        <v>Periode: 202101 - 202112</v>
      </c>
      <c r="C5" s="167"/>
      <c r="D5" s="163" t="str">
        <f>1&amp;" "&amp;"Internasjonal"</f>
        <v>1 Internasjonal</v>
      </c>
      <c r="E5" s="163" t="str">
        <f>2&amp;" "&amp;"Drift"</f>
        <v>2 Drift</v>
      </c>
      <c r="F5" s="163" t="str">
        <f>3&amp;" "&amp;"Magasin"</f>
        <v>3 Magasin</v>
      </c>
      <c r="G5" s="163" t="str">
        <f>4&amp;" "&amp;"Utviklingsfond"</f>
        <v>4 Utviklingsfond</v>
      </c>
      <c r="H5" s="163" t="str">
        <f>5&amp;" "&amp;"Videre"</f>
        <v>5 Videre</v>
      </c>
      <c r="I5" s="163" t="str">
        <f>6&amp;" "&amp;"Menighet"</f>
        <v>6 Menighet</v>
      </c>
      <c r="J5" s="163" t="str">
        <f>14&amp;" "&amp;"Skoledrift"</f>
        <v>14 Skoledrift</v>
      </c>
      <c r="K5" s="163" t="str">
        <f>15&amp;" "&amp;"Tilsyn"</f>
        <v>15 Tilsyn</v>
      </c>
      <c r="L5" s="163" t="str">
        <f>16&amp;" "&amp;"Pensjonskassen"</f>
        <v>16 Pensjonskassen</v>
      </c>
      <c r="M5" s="163" t="str">
        <f>17&amp;" "&amp;"Synodal"</f>
        <v>17 Synodal</v>
      </c>
      <c r="N5" s="163" t="str">
        <f>18&amp;" "&amp;"Nasjonal"</f>
        <v>18 Nasjonal</v>
      </c>
      <c r="O5" s="163" t="str">
        <f>19&amp;" "&amp;"Barn og Unge"</f>
        <v>19 Barn og Unge</v>
      </c>
      <c r="P5" s="164" t="s">
        <v>25</v>
      </c>
    </row>
    <row r="6" spans="1:16" ht="9" customHeight="1">
      <c r="A6" s="22"/>
      <c r="B6" s="23"/>
      <c r="C6" s="24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168"/>
    </row>
    <row r="7" spans="1:16" hidden="1" outlineLevel="2">
      <c r="A7" s="22"/>
      <c r="B7" s="28">
        <v>3110</v>
      </c>
      <c r="C7" s="29" t="s">
        <v>55</v>
      </c>
      <c r="D7" s="30">
        <f t="shared" ref="D7:D8" si="0">-N(0)</f>
        <v>0</v>
      </c>
      <c r="E7" s="30">
        <f>-N(-2000)</f>
        <v>2000</v>
      </c>
      <c r="F7" s="30">
        <f t="shared" ref="F7:O8" si="1">-N(0)</f>
        <v>0</v>
      </c>
      <c r="G7" s="30">
        <f t="shared" si="1"/>
        <v>0</v>
      </c>
      <c r="H7" s="30">
        <f t="shared" si="1"/>
        <v>0</v>
      </c>
      <c r="I7" s="30">
        <f t="shared" si="1"/>
        <v>0</v>
      </c>
      <c r="J7" s="30">
        <f t="shared" si="1"/>
        <v>0</v>
      </c>
      <c r="K7" s="30">
        <f t="shared" si="1"/>
        <v>0</v>
      </c>
      <c r="L7" s="30">
        <f t="shared" si="1"/>
        <v>0</v>
      </c>
      <c r="M7" s="30">
        <f t="shared" si="1"/>
        <v>0</v>
      </c>
      <c r="N7" s="30">
        <f t="shared" si="1"/>
        <v>0</v>
      </c>
      <c r="O7" s="30">
        <f t="shared" si="1"/>
        <v>0</v>
      </c>
      <c r="P7" s="169">
        <f t="shared" ref="P7:P37" si="2">SUM(D7:O7)</f>
        <v>2000</v>
      </c>
    </row>
    <row r="8" spans="1:16" hidden="1" outlineLevel="2">
      <c r="A8" s="22"/>
      <c r="B8" s="28">
        <v>3700</v>
      </c>
      <c r="C8" s="29" t="s">
        <v>56</v>
      </c>
      <c r="D8" s="30">
        <f t="shared" si="0"/>
        <v>0</v>
      </c>
      <c r="E8" s="30">
        <f>-N(-382.5)</f>
        <v>382.5</v>
      </c>
      <c r="F8" s="30">
        <f t="shared" si="1"/>
        <v>0</v>
      </c>
      <c r="G8" s="30">
        <f t="shared" si="1"/>
        <v>0</v>
      </c>
      <c r="H8" s="30">
        <f t="shared" si="1"/>
        <v>0</v>
      </c>
      <c r="I8" s="30">
        <f t="shared" si="1"/>
        <v>0</v>
      </c>
      <c r="J8" s="30">
        <f t="shared" si="1"/>
        <v>0</v>
      </c>
      <c r="K8" s="30">
        <f t="shared" si="1"/>
        <v>0</v>
      </c>
      <c r="L8" s="30">
        <f t="shared" si="1"/>
        <v>0</v>
      </c>
      <c r="M8" s="30">
        <f t="shared" si="1"/>
        <v>0</v>
      </c>
      <c r="N8" s="30">
        <f t="shared" si="1"/>
        <v>0</v>
      </c>
      <c r="O8" s="30">
        <f t="shared" si="1"/>
        <v>0</v>
      </c>
      <c r="P8" s="169">
        <f t="shared" si="2"/>
        <v>382.5</v>
      </c>
    </row>
    <row r="9" spans="1:16" outlineLevel="1" collapsed="1">
      <c r="A9" s="22"/>
      <c r="B9" s="35" t="str">
        <f>"    "&amp;"Salgsinntekt, avgiftspliktig"</f>
        <v xml:space="preserve">    Salgsinntekt, avgiftspliktig</v>
      </c>
      <c r="C9" s="36"/>
      <c r="D9" s="33">
        <f t="shared" ref="D9:O9" si="3">SUM(D7:D8)</f>
        <v>0</v>
      </c>
      <c r="E9" s="33">
        <f t="shared" si="3"/>
        <v>2382.5</v>
      </c>
      <c r="F9" s="33">
        <f t="shared" si="3"/>
        <v>0</v>
      </c>
      <c r="G9" s="33">
        <f t="shared" si="3"/>
        <v>0</v>
      </c>
      <c r="H9" s="33">
        <f t="shared" si="3"/>
        <v>0</v>
      </c>
      <c r="I9" s="33">
        <f t="shared" si="3"/>
        <v>0</v>
      </c>
      <c r="J9" s="33">
        <f t="shared" si="3"/>
        <v>0</v>
      </c>
      <c r="K9" s="33">
        <f t="shared" si="3"/>
        <v>0</v>
      </c>
      <c r="L9" s="33">
        <f t="shared" si="3"/>
        <v>0</v>
      </c>
      <c r="M9" s="33">
        <f t="shared" si="3"/>
        <v>0</v>
      </c>
      <c r="N9" s="33">
        <f t="shared" si="3"/>
        <v>0</v>
      </c>
      <c r="O9" s="33">
        <f t="shared" si="3"/>
        <v>0</v>
      </c>
      <c r="P9" s="170">
        <f t="shared" si="2"/>
        <v>2382.5</v>
      </c>
    </row>
    <row r="10" spans="1:16" hidden="1" outlineLevel="2">
      <c r="A10" s="22"/>
      <c r="B10" s="28">
        <v>3200</v>
      </c>
      <c r="C10" s="29" t="s">
        <v>58</v>
      </c>
      <c r="D10" s="30">
        <f t="shared" ref="D10:G13" si="4">-N(0)</f>
        <v>0</v>
      </c>
      <c r="E10" s="30">
        <f t="shared" si="4"/>
        <v>0</v>
      </c>
      <c r="F10" s="30">
        <f t="shared" si="4"/>
        <v>0</v>
      </c>
      <c r="G10" s="30">
        <f t="shared" si="4"/>
        <v>0</v>
      </c>
      <c r="H10" s="30">
        <f>-N(-357150)</f>
        <v>357150</v>
      </c>
      <c r="I10" s="30">
        <f t="shared" ref="I10:N13" si="5">-N(0)</f>
        <v>0</v>
      </c>
      <c r="J10" s="30">
        <f t="shared" si="5"/>
        <v>0</v>
      </c>
      <c r="K10" s="30">
        <f t="shared" si="5"/>
        <v>0</v>
      </c>
      <c r="L10" s="30">
        <f t="shared" si="5"/>
        <v>0</v>
      </c>
      <c r="M10" s="30">
        <f t="shared" si="5"/>
        <v>0</v>
      </c>
      <c r="N10" s="30">
        <f>-N(-27600)</f>
        <v>27600</v>
      </c>
      <c r="O10" s="30">
        <f t="shared" ref="O10:O13" si="6">-N(0)</f>
        <v>0</v>
      </c>
      <c r="P10" s="169">
        <f t="shared" si="2"/>
        <v>384750</v>
      </c>
    </row>
    <row r="11" spans="1:16" hidden="1" outlineLevel="2">
      <c r="A11" s="22"/>
      <c r="B11" s="28">
        <v>3201</v>
      </c>
      <c r="C11" s="29" t="s">
        <v>59</v>
      </c>
      <c r="D11" s="30">
        <f>-N(-76400.18)</f>
        <v>76400.179999999993</v>
      </c>
      <c r="E11" s="30">
        <f t="shared" si="4"/>
        <v>0</v>
      </c>
      <c r="F11" s="30">
        <f t="shared" si="4"/>
        <v>0</v>
      </c>
      <c r="G11" s="30">
        <f t="shared" si="4"/>
        <v>0</v>
      </c>
      <c r="H11" s="30">
        <f>-N(0)</f>
        <v>0</v>
      </c>
      <c r="I11" s="30">
        <f t="shared" si="5"/>
        <v>0</v>
      </c>
      <c r="J11" s="30">
        <f t="shared" si="5"/>
        <v>0</v>
      </c>
      <c r="K11" s="30">
        <f t="shared" si="5"/>
        <v>0</v>
      </c>
      <c r="L11" s="30">
        <f t="shared" si="5"/>
        <v>0</v>
      </c>
      <c r="M11" s="30">
        <f t="shared" si="5"/>
        <v>0</v>
      </c>
      <c r="N11" s="30">
        <f t="shared" si="5"/>
        <v>0</v>
      </c>
      <c r="O11" s="30">
        <f t="shared" si="6"/>
        <v>0</v>
      </c>
      <c r="P11" s="169">
        <f t="shared" si="2"/>
        <v>76400.179999999993</v>
      </c>
    </row>
    <row r="12" spans="1:16" hidden="1" outlineLevel="2">
      <c r="A12" s="22"/>
      <c r="B12" s="28">
        <v>3205</v>
      </c>
      <c r="C12" s="29" t="s">
        <v>61</v>
      </c>
      <c r="D12" s="30">
        <f>-N(-2382)</f>
        <v>2382</v>
      </c>
      <c r="E12" s="30">
        <f t="shared" si="4"/>
        <v>0</v>
      </c>
      <c r="F12" s="30">
        <f t="shared" si="4"/>
        <v>0</v>
      </c>
      <c r="G12" s="30">
        <f t="shared" si="4"/>
        <v>0</v>
      </c>
      <c r="H12" s="30">
        <f>-N(-56726.1)</f>
        <v>56726.1</v>
      </c>
      <c r="I12" s="30">
        <f t="shared" si="5"/>
        <v>0</v>
      </c>
      <c r="J12" s="30">
        <f t="shared" si="5"/>
        <v>0</v>
      </c>
      <c r="K12" s="30">
        <f t="shared" si="5"/>
        <v>0</v>
      </c>
      <c r="L12" s="30">
        <f t="shared" si="5"/>
        <v>0</v>
      </c>
      <c r="M12" s="30">
        <f t="shared" si="5"/>
        <v>0</v>
      </c>
      <c r="N12" s="30">
        <f t="shared" si="5"/>
        <v>0</v>
      </c>
      <c r="O12" s="30">
        <f t="shared" si="6"/>
        <v>0</v>
      </c>
      <c r="P12" s="169">
        <f t="shared" si="2"/>
        <v>59108.1</v>
      </c>
    </row>
    <row r="13" spans="1:16" hidden="1" outlineLevel="2">
      <c r="A13" s="22"/>
      <c r="B13" s="28">
        <v>3415</v>
      </c>
      <c r="C13" s="29" t="s">
        <v>65</v>
      </c>
      <c r="D13" s="30">
        <f>-N(0)</f>
        <v>0</v>
      </c>
      <c r="E13" s="30">
        <f>-N(-181236)</f>
        <v>181236</v>
      </c>
      <c r="F13" s="30">
        <f t="shared" si="4"/>
        <v>0</v>
      </c>
      <c r="G13" s="30">
        <f t="shared" si="4"/>
        <v>0</v>
      </c>
      <c r="H13" s="30">
        <f>-N(-56359)</f>
        <v>56359</v>
      </c>
      <c r="I13" s="30">
        <f t="shared" si="5"/>
        <v>0</v>
      </c>
      <c r="J13" s="30">
        <f t="shared" si="5"/>
        <v>0</v>
      </c>
      <c r="K13" s="30">
        <f t="shared" si="5"/>
        <v>0</v>
      </c>
      <c r="L13" s="30">
        <f t="shared" si="5"/>
        <v>0</v>
      </c>
      <c r="M13" s="30">
        <f t="shared" si="5"/>
        <v>0</v>
      </c>
      <c r="N13" s="30">
        <f t="shared" si="5"/>
        <v>0</v>
      </c>
      <c r="O13" s="30">
        <f t="shared" si="6"/>
        <v>0</v>
      </c>
      <c r="P13" s="169">
        <f t="shared" si="2"/>
        <v>237595</v>
      </c>
    </row>
    <row r="14" spans="1:16" outlineLevel="1" collapsed="1">
      <c r="A14" s="22"/>
      <c r="B14" s="35" t="str">
        <f>"    "&amp;"Arrangement"</f>
        <v xml:space="preserve">    Arrangement</v>
      </c>
      <c r="C14" s="36"/>
      <c r="D14" s="33">
        <f t="shared" ref="D14:O14" si="7">SUM(D10:D13)</f>
        <v>78782.179999999993</v>
      </c>
      <c r="E14" s="33">
        <f t="shared" si="7"/>
        <v>181236</v>
      </c>
      <c r="F14" s="33">
        <f t="shared" si="7"/>
        <v>0</v>
      </c>
      <c r="G14" s="33">
        <f t="shared" si="7"/>
        <v>0</v>
      </c>
      <c r="H14" s="33">
        <f t="shared" si="7"/>
        <v>470235.1</v>
      </c>
      <c r="I14" s="33">
        <f t="shared" si="7"/>
        <v>0</v>
      </c>
      <c r="J14" s="33">
        <f t="shared" si="7"/>
        <v>0</v>
      </c>
      <c r="K14" s="33">
        <f t="shared" si="7"/>
        <v>0</v>
      </c>
      <c r="L14" s="33">
        <f t="shared" si="7"/>
        <v>0</v>
      </c>
      <c r="M14" s="33">
        <f t="shared" si="7"/>
        <v>0</v>
      </c>
      <c r="N14" s="33">
        <f t="shared" si="7"/>
        <v>27600</v>
      </c>
      <c r="O14" s="33">
        <f t="shared" si="7"/>
        <v>0</v>
      </c>
      <c r="P14" s="170">
        <f t="shared" si="2"/>
        <v>757853.28</v>
      </c>
    </row>
    <row r="15" spans="1:16">
      <c r="A15" s="22"/>
      <c r="B15" s="41" t="s">
        <v>9</v>
      </c>
      <c r="C15" s="42"/>
      <c r="D15" s="44">
        <f t="shared" ref="D15:O15" si="8">SUM(D9,D14)</f>
        <v>78782.179999999993</v>
      </c>
      <c r="E15" s="44">
        <f t="shared" si="8"/>
        <v>183618.5</v>
      </c>
      <c r="F15" s="44">
        <f t="shared" si="8"/>
        <v>0</v>
      </c>
      <c r="G15" s="44">
        <f t="shared" si="8"/>
        <v>0</v>
      </c>
      <c r="H15" s="44">
        <f t="shared" si="8"/>
        <v>470235.1</v>
      </c>
      <c r="I15" s="44">
        <f t="shared" si="8"/>
        <v>0</v>
      </c>
      <c r="J15" s="44">
        <f t="shared" si="8"/>
        <v>0</v>
      </c>
      <c r="K15" s="44">
        <f t="shared" si="8"/>
        <v>0</v>
      </c>
      <c r="L15" s="44">
        <f t="shared" si="8"/>
        <v>0</v>
      </c>
      <c r="M15" s="44">
        <f t="shared" si="8"/>
        <v>0</v>
      </c>
      <c r="N15" s="44">
        <f t="shared" si="8"/>
        <v>27600</v>
      </c>
      <c r="O15" s="44">
        <f t="shared" si="8"/>
        <v>0</v>
      </c>
      <c r="P15" s="171">
        <f t="shared" si="2"/>
        <v>760235.78</v>
      </c>
    </row>
    <row r="16" spans="1:16" hidden="1" outlineLevel="2">
      <c r="A16" s="22"/>
      <c r="B16" s="28">
        <v>3218</v>
      </c>
      <c r="C16" s="29" t="s">
        <v>67</v>
      </c>
      <c r="D16" s="30">
        <f>-N(-9675.5)</f>
        <v>9675.5</v>
      </c>
      <c r="E16" s="30">
        <f t="shared" ref="E16:O17" si="9">-N(0)</f>
        <v>0</v>
      </c>
      <c r="F16" s="30">
        <f t="shared" si="9"/>
        <v>0</v>
      </c>
      <c r="G16" s="30">
        <f t="shared" si="9"/>
        <v>0</v>
      </c>
      <c r="H16" s="30">
        <f t="shared" si="9"/>
        <v>0</v>
      </c>
      <c r="I16" s="30">
        <f t="shared" si="9"/>
        <v>0</v>
      </c>
      <c r="J16" s="30">
        <f t="shared" si="9"/>
        <v>0</v>
      </c>
      <c r="K16" s="30">
        <f t="shared" si="9"/>
        <v>0</v>
      </c>
      <c r="L16" s="30">
        <f t="shared" si="9"/>
        <v>0</v>
      </c>
      <c r="M16" s="30">
        <f t="shared" si="9"/>
        <v>0</v>
      </c>
      <c r="N16" s="30">
        <f t="shared" si="9"/>
        <v>0</v>
      </c>
      <c r="O16" s="30">
        <f t="shared" si="9"/>
        <v>0</v>
      </c>
      <c r="P16" s="169">
        <f t="shared" si="2"/>
        <v>9675.5</v>
      </c>
    </row>
    <row r="17" spans="1:16" hidden="1" outlineLevel="2">
      <c r="A17" s="22"/>
      <c r="B17" s="28">
        <v>3238</v>
      </c>
      <c r="C17" s="29" t="s">
        <v>69</v>
      </c>
      <c r="D17" s="30">
        <f>-N(-1900334.09)</f>
        <v>1900334.09</v>
      </c>
      <c r="E17" s="30">
        <f t="shared" si="9"/>
        <v>0</v>
      </c>
      <c r="F17" s="30">
        <f t="shared" si="9"/>
        <v>0</v>
      </c>
      <c r="G17" s="30">
        <f t="shared" si="9"/>
        <v>0</v>
      </c>
      <c r="H17" s="30">
        <f t="shared" si="9"/>
        <v>0</v>
      </c>
      <c r="I17" s="30">
        <f t="shared" si="9"/>
        <v>0</v>
      </c>
      <c r="J17" s="30">
        <f t="shared" si="9"/>
        <v>0</v>
      </c>
      <c r="K17" s="30">
        <f t="shared" si="9"/>
        <v>0</v>
      </c>
      <c r="L17" s="30">
        <f t="shared" si="9"/>
        <v>0</v>
      </c>
      <c r="M17" s="30">
        <f t="shared" si="9"/>
        <v>0</v>
      </c>
      <c r="N17" s="30">
        <f t="shared" si="9"/>
        <v>0</v>
      </c>
      <c r="O17" s="30">
        <f t="shared" si="9"/>
        <v>0</v>
      </c>
      <c r="P17" s="169">
        <f t="shared" si="2"/>
        <v>1900334.09</v>
      </c>
    </row>
    <row r="18" spans="1:16" outlineLevel="1" collapsed="1">
      <c r="A18" s="22"/>
      <c r="B18" s="35" t="str">
        <f>"    "&amp;"Gaver"</f>
        <v xml:space="preserve">    Gaver</v>
      </c>
      <c r="C18" s="36"/>
      <c r="D18" s="33">
        <f t="shared" ref="D18:O18" si="10">SUM(D16:D17)</f>
        <v>1910009.59</v>
      </c>
      <c r="E18" s="33">
        <f t="shared" si="10"/>
        <v>0</v>
      </c>
      <c r="F18" s="33">
        <f t="shared" si="10"/>
        <v>0</v>
      </c>
      <c r="G18" s="33">
        <f t="shared" si="10"/>
        <v>0</v>
      </c>
      <c r="H18" s="33">
        <f t="shared" si="10"/>
        <v>0</v>
      </c>
      <c r="I18" s="33">
        <f t="shared" si="10"/>
        <v>0</v>
      </c>
      <c r="J18" s="33">
        <f t="shared" si="10"/>
        <v>0</v>
      </c>
      <c r="K18" s="33">
        <f t="shared" si="10"/>
        <v>0</v>
      </c>
      <c r="L18" s="33">
        <f t="shared" si="10"/>
        <v>0</v>
      </c>
      <c r="M18" s="33">
        <f t="shared" si="10"/>
        <v>0</v>
      </c>
      <c r="N18" s="33">
        <f t="shared" si="10"/>
        <v>0</v>
      </c>
      <c r="O18" s="33">
        <f t="shared" si="10"/>
        <v>0</v>
      </c>
      <c r="P18" s="170">
        <f t="shared" si="2"/>
        <v>1910009.59</v>
      </c>
    </row>
    <row r="19" spans="1:16">
      <c r="A19" s="22"/>
      <c r="B19" s="41" t="s">
        <v>70</v>
      </c>
      <c r="C19" s="42"/>
      <c r="D19" s="44">
        <f t="shared" ref="D19:O19" si="11">SUM(D18)</f>
        <v>1910009.59</v>
      </c>
      <c r="E19" s="44">
        <f t="shared" si="11"/>
        <v>0</v>
      </c>
      <c r="F19" s="44">
        <f t="shared" si="11"/>
        <v>0</v>
      </c>
      <c r="G19" s="44">
        <f t="shared" si="11"/>
        <v>0</v>
      </c>
      <c r="H19" s="44">
        <f t="shared" si="11"/>
        <v>0</v>
      </c>
      <c r="I19" s="44">
        <f t="shared" si="11"/>
        <v>0</v>
      </c>
      <c r="J19" s="44">
        <f t="shared" si="11"/>
        <v>0</v>
      </c>
      <c r="K19" s="44">
        <f t="shared" si="11"/>
        <v>0</v>
      </c>
      <c r="L19" s="44">
        <f t="shared" si="11"/>
        <v>0</v>
      </c>
      <c r="M19" s="44">
        <f t="shared" si="11"/>
        <v>0</v>
      </c>
      <c r="N19" s="44">
        <f t="shared" si="11"/>
        <v>0</v>
      </c>
      <c r="O19" s="44">
        <f t="shared" si="11"/>
        <v>0</v>
      </c>
      <c r="P19" s="171">
        <f t="shared" si="2"/>
        <v>1910009.59</v>
      </c>
    </row>
    <row r="20" spans="1:16" hidden="1" outlineLevel="2">
      <c r="A20" s="22"/>
      <c r="B20" s="28">
        <v>3225</v>
      </c>
      <c r="C20" s="29" t="s">
        <v>71</v>
      </c>
      <c r="D20" s="30">
        <f>-N(-284420)</f>
        <v>284420</v>
      </c>
      <c r="E20" s="30">
        <f t="shared" ref="E20:O23" si="12">-N(0)</f>
        <v>0</v>
      </c>
      <c r="F20" s="30">
        <f t="shared" si="12"/>
        <v>0</v>
      </c>
      <c r="G20" s="30">
        <f t="shared" si="12"/>
        <v>0</v>
      </c>
      <c r="H20" s="30">
        <f t="shared" si="12"/>
        <v>0</v>
      </c>
      <c r="I20" s="30">
        <f t="shared" si="12"/>
        <v>0</v>
      </c>
      <c r="J20" s="30">
        <f t="shared" si="12"/>
        <v>0</v>
      </c>
      <c r="K20" s="30">
        <f t="shared" si="12"/>
        <v>0</v>
      </c>
      <c r="L20" s="30">
        <f t="shared" si="12"/>
        <v>0</v>
      </c>
      <c r="M20" s="30">
        <f t="shared" si="12"/>
        <v>0</v>
      </c>
      <c r="N20" s="30">
        <f t="shared" si="12"/>
        <v>0</v>
      </c>
      <c r="O20" s="30">
        <f t="shared" si="12"/>
        <v>0</v>
      </c>
      <c r="P20" s="169">
        <f t="shared" si="2"/>
        <v>284420</v>
      </c>
    </row>
    <row r="21" spans="1:16" hidden="1" outlineLevel="2">
      <c r="A21" s="22"/>
      <c r="B21" s="28">
        <v>3410</v>
      </c>
      <c r="C21" s="29" t="s">
        <v>22</v>
      </c>
      <c r="D21" s="30">
        <f>-N(-3891232.1)</f>
        <v>3891232.1</v>
      </c>
      <c r="E21" s="30">
        <f t="shared" si="12"/>
        <v>0</v>
      </c>
      <c r="F21" s="30">
        <f t="shared" si="12"/>
        <v>0</v>
      </c>
      <c r="G21" s="30">
        <f t="shared" si="12"/>
        <v>0</v>
      </c>
      <c r="H21" s="30">
        <f t="shared" si="12"/>
        <v>0</v>
      </c>
      <c r="I21" s="30">
        <f t="shared" si="12"/>
        <v>0</v>
      </c>
      <c r="J21" s="30">
        <f t="shared" si="12"/>
        <v>0</v>
      </c>
      <c r="K21" s="30">
        <f t="shared" si="12"/>
        <v>0</v>
      </c>
      <c r="L21" s="30">
        <f t="shared" si="12"/>
        <v>0</v>
      </c>
      <c r="M21" s="30">
        <f t="shared" si="12"/>
        <v>0</v>
      </c>
      <c r="N21" s="30">
        <f t="shared" si="12"/>
        <v>0</v>
      </c>
      <c r="O21" s="30">
        <f t="shared" si="12"/>
        <v>0</v>
      </c>
      <c r="P21" s="169">
        <f t="shared" si="2"/>
        <v>3891232.1</v>
      </c>
    </row>
    <row r="22" spans="1:16" hidden="1" outlineLevel="2">
      <c r="A22" s="22"/>
      <c r="B22" s="28">
        <v>3411</v>
      </c>
      <c r="C22" s="29" t="s">
        <v>23</v>
      </c>
      <c r="D22" s="30">
        <f>-N(-272386.66)</f>
        <v>272386.65999999997</v>
      </c>
      <c r="E22" s="30">
        <f t="shared" si="12"/>
        <v>0</v>
      </c>
      <c r="F22" s="30">
        <f t="shared" si="12"/>
        <v>0</v>
      </c>
      <c r="G22" s="30">
        <f t="shared" si="12"/>
        <v>0</v>
      </c>
      <c r="H22" s="30">
        <f t="shared" si="12"/>
        <v>0</v>
      </c>
      <c r="I22" s="30">
        <f t="shared" si="12"/>
        <v>0</v>
      </c>
      <c r="J22" s="30">
        <f t="shared" si="12"/>
        <v>0</v>
      </c>
      <c r="K22" s="30">
        <f t="shared" si="12"/>
        <v>0</v>
      </c>
      <c r="L22" s="30">
        <f t="shared" si="12"/>
        <v>0</v>
      </c>
      <c r="M22" s="30">
        <f t="shared" si="12"/>
        <v>0</v>
      </c>
      <c r="N22" s="30">
        <f t="shared" si="12"/>
        <v>0</v>
      </c>
      <c r="O22" s="30">
        <f t="shared" si="12"/>
        <v>0</v>
      </c>
      <c r="P22" s="169">
        <f t="shared" si="2"/>
        <v>272386.65999999997</v>
      </c>
    </row>
    <row r="23" spans="1:16" hidden="1" outlineLevel="2">
      <c r="A23" s="22"/>
      <c r="B23" s="28">
        <v>3412</v>
      </c>
      <c r="C23" s="29" t="s">
        <v>24</v>
      </c>
      <c r="D23" s="30">
        <f>-N(-261338)</f>
        <v>261338</v>
      </c>
      <c r="E23" s="30">
        <f t="shared" si="12"/>
        <v>0</v>
      </c>
      <c r="F23" s="30">
        <f t="shared" si="12"/>
        <v>0</v>
      </c>
      <c r="G23" s="30">
        <f t="shared" si="12"/>
        <v>0</v>
      </c>
      <c r="H23" s="30">
        <f t="shared" si="12"/>
        <v>0</v>
      </c>
      <c r="I23" s="30">
        <f t="shared" si="12"/>
        <v>0</v>
      </c>
      <c r="J23" s="30">
        <f t="shared" si="12"/>
        <v>0</v>
      </c>
      <c r="K23" s="30">
        <f t="shared" si="12"/>
        <v>0</v>
      </c>
      <c r="L23" s="30">
        <f t="shared" si="12"/>
        <v>0</v>
      </c>
      <c r="M23" s="30">
        <f t="shared" si="12"/>
        <v>0</v>
      </c>
      <c r="N23" s="30">
        <f t="shared" si="12"/>
        <v>0</v>
      </c>
      <c r="O23" s="30">
        <f t="shared" si="12"/>
        <v>0</v>
      </c>
      <c r="P23" s="169">
        <f t="shared" si="2"/>
        <v>261338</v>
      </c>
    </row>
    <row r="24" spans="1:16" hidden="1" outlineLevel="2">
      <c r="A24" s="22"/>
      <c r="B24" s="28">
        <v>3450</v>
      </c>
      <c r="C24" s="29" t="s">
        <v>72</v>
      </c>
      <c r="D24" s="30">
        <f>-N(0)</f>
        <v>0</v>
      </c>
      <c r="E24" s="30">
        <f>-N(-5578552.86)</f>
        <v>5578552.8600000003</v>
      </c>
      <c r="F24" s="30">
        <f>-N(0)</f>
        <v>0</v>
      </c>
      <c r="G24" s="30">
        <f>-N(-2493531.95)</f>
        <v>2493531.9500000002</v>
      </c>
      <c r="H24" s="30">
        <f>-N(0)</f>
        <v>0</v>
      </c>
      <c r="I24" s="30">
        <f>-N(-579891.15)</f>
        <v>579891.15</v>
      </c>
      <c r="J24" s="30">
        <f>-N(-324739.04)</f>
        <v>324739.03999999998</v>
      </c>
      <c r="K24" s="30">
        <f>-N(0)</f>
        <v>0</v>
      </c>
      <c r="L24" s="30">
        <f>-N(-115978.23)</f>
        <v>115978.23</v>
      </c>
      <c r="M24" s="30">
        <f>-N(-1229369.24)</f>
        <v>1229369.24</v>
      </c>
      <c r="N24" s="30">
        <f>-N(0)</f>
        <v>0</v>
      </c>
      <c r="O24" s="30">
        <f>-N(-1275760.53)</f>
        <v>1275760.53</v>
      </c>
      <c r="P24" s="169">
        <f t="shared" si="2"/>
        <v>11597823</v>
      </c>
    </row>
    <row r="25" spans="1:16" outlineLevel="1" collapsed="1">
      <c r="A25" s="22"/>
      <c r="B25" s="35" t="str">
        <f>"    "&amp;"Offentlige tilskudd og refusjoner"</f>
        <v xml:space="preserve">    Offentlige tilskudd og refusjoner</v>
      </c>
      <c r="C25" s="36"/>
      <c r="D25" s="33">
        <f t="shared" ref="D25:O25" si="13">SUM(D20:D24)</f>
        <v>4709376.76</v>
      </c>
      <c r="E25" s="33">
        <f t="shared" si="13"/>
        <v>5578552.8600000003</v>
      </c>
      <c r="F25" s="33">
        <f t="shared" si="13"/>
        <v>0</v>
      </c>
      <c r="G25" s="33">
        <f t="shared" si="13"/>
        <v>2493531.9500000002</v>
      </c>
      <c r="H25" s="33">
        <f t="shared" si="13"/>
        <v>0</v>
      </c>
      <c r="I25" s="33">
        <f t="shared" si="13"/>
        <v>579891.15</v>
      </c>
      <c r="J25" s="33">
        <f t="shared" si="13"/>
        <v>324739.03999999998</v>
      </c>
      <c r="K25" s="33">
        <f t="shared" si="13"/>
        <v>0</v>
      </c>
      <c r="L25" s="33">
        <f t="shared" si="13"/>
        <v>115978.23</v>
      </c>
      <c r="M25" s="33">
        <f t="shared" si="13"/>
        <v>1229369.24</v>
      </c>
      <c r="N25" s="33">
        <f t="shared" si="13"/>
        <v>0</v>
      </c>
      <c r="O25" s="33">
        <f t="shared" si="13"/>
        <v>1275760.53</v>
      </c>
      <c r="P25" s="170">
        <f t="shared" si="2"/>
        <v>16307199.76</v>
      </c>
    </row>
    <row r="26" spans="1:16" hidden="1" outlineLevel="2">
      <c r="A26" s="22"/>
      <c r="B26" s="28">
        <v>3210</v>
      </c>
      <c r="C26" s="29" t="s">
        <v>27</v>
      </c>
      <c r="D26" s="30">
        <f t="shared" ref="D26:D27" si="14">-N(0)</f>
        <v>0</v>
      </c>
      <c r="E26" s="30">
        <f>-N(-4697975.6)</f>
        <v>4697975.5999999996</v>
      </c>
      <c r="F26" s="30">
        <f t="shared" ref="F26:G29" si="15">-N(0)</f>
        <v>0</v>
      </c>
      <c r="G26" s="30">
        <f>-N(-2099926.72)</f>
        <v>2099926.7200000002</v>
      </c>
      <c r="H26" s="30">
        <f t="shared" ref="H26:K29" si="16">-N(0)</f>
        <v>0</v>
      </c>
      <c r="I26" s="30">
        <f>-N(-488355.06)</f>
        <v>488355.06</v>
      </c>
      <c r="J26" s="30">
        <f>-N(-273478.82)</f>
        <v>273478.82</v>
      </c>
      <c r="K26" s="30">
        <f>-N(0)</f>
        <v>0</v>
      </c>
      <c r="L26" s="30">
        <f>-N(-97671.02)</f>
        <v>97671.02</v>
      </c>
      <c r="M26" s="30">
        <f>-N(-1035312.7)</f>
        <v>1035312.7</v>
      </c>
      <c r="N26" s="30">
        <f t="shared" ref="N26:O29" si="17">-N(0)</f>
        <v>0</v>
      </c>
      <c r="O26" s="30">
        <f>-N(-1074381.12)</f>
        <v>1074381.1200000001</v>
      </c>
      <c r="P26" s="169">
        <f t="shared" si="2"/>
        <v>9767101.0399999991</v>
      </c>
    </row>
    <row r="27" spans="1:16" hidden="1" outlineLevel="2">
      <c r="A27" s="22"/>
      <c r="B27" s="28">
        <v>3212</v>
      </c>
      <c r="C27" s="29" t="s">
        <v>28</v>
      </c>
      <c r="D27" s="30">
        <f t="shared" si="14"/>
        <v>0</v>
      </c>
      <c r="E27" s="30">
        <f>-N(0)</f>
        <v>0</v>
      </c>
      <c r="F27" s="30">
        <f t="shared" si="15"/>
        <v>0</v>
      </c>
      <c r="G27" s="30">
        <f t="shared" si="15"/>
        <v>0</v>
      </c>
      <c r="H27" s="30">
        <f t="shared" si="16"/>
        <v>0</v>
      </c>
      <c r="I27" s="30">
        <f t="shared" si="16"/>
        <v>0</v>
      </c>
      <c r="J27" s="30">
        <f t="shared" si="16"/>
        <v>0</v>
      </c>
      <c r="K27" s="30">
        <f>-N(-2584948.96)</f>
        <v>2584948.96</v>
      </c>
      <c r="L27" s="30">
        <f t="shared" ref="L27:M29" si="18">-N(0)</f>
        <v>0</v>
      </c>
      <c r="M27" s="30">
        <f t="shared" si="18"/>
        <v>0</v>
      </c>
      <c r="N27" s="30">
        <f t="shared" si="17"/>
        <v>0</v>
      </c>
      <c r="O27" s="30">
        <f t="shared" si="17"/>
        <v>0</v>
      </c>
      <c r="P27" s="169">
        <f t="shared" si="2"/>
        <v>2584948.96</v>
      </c>
    </row>
    <row r="28" spans="1:16" hidden="1" outlineLevel="2">
      <c r="A28" s="22"/>
      <c r="B28" s="28">
        <v>3215</v>
      </c>
      <c r="C28" s="29" t="s">
        <v>73</v>
      </c>
      <c r="D28" s="30">
        <f>-N(749003)</f>
        <v>-749003</v>
      </c>
      <c r="E28" s="30">
        <f>-N(2297997)</f>
        <v>-2297997</v>
      </c>
      <c r="F28" s="30">
        <f t="shared" si="15"/>
        <v>0</v>
      </c>
      <c r="G28" s="30">
        <f t="shared" si="15"/>
        <v>0</v>
      </c>
      <c r="H28" s="30">
        <f t="shared" si="16"/>
        <v>0</v>
      </c>
      <c r="I28" s="30">
        <f t="shared" si="16"/>
        <v>0</v>
      </c>
      <c r="J28" s="30">
        <f t="shared" si="16"/>
        <v>0</v>
      </c>
      <c r="K28" s="30">
        <f t="shared" si="16"/>
        <v>0</v>
      </c>
      <c r="L28" s="30">
        <f t="shared" si="18"/>
        <v>0</v>
      </c>
      <c r="M28" s="30">
        <f t="shared" si="18"/>
        <v>0</v>
      </c>
      <c r="N28" s="30">
        <f>-N(-3047000)</f>
        <v>3047000</v>
      </c>
      <c r="O28" s="30">
        <f t="shared" si="17"/>
        <v>0</v>
      </c>
      <c r="P28" s="169">
        <f t="shared" si="2"/>
        <v>0</v>
      </c>
    </row>
    <row r="29" spans="1:16" hidden="1" outlineLevel="2">
      <c r="A29" s="22"/>
      <c r="B29" s="28">
        <v>3230</v>
      </c>
      <c r="C29" s="29" t="s">
        <v>74</v>
      </c>
      <c r="D29" s="30">
        <f>-N(-10028615.7)</f>
        <v>10028615.699999999</v>
      </c>
      <c r="E29" s="30">
        <f>-N(-0.6)</f>
        <v>0.6</v>
      </c>
      <c r="F29" s="30">
        <f t="shared" si="15"/>
        <v>0</v>
      </c>
      <c r="G29" s="30">
        <f t="shared" si="15"/>
        <v>0</v>
      </c>
      <c r="H29" s="30">
        <f t="shared" si="16"/>
        <v>0</v>
      </c>
      <c r="I29" s="30">
        <f t="shared" si="16"/>
        <v>0</v>
      </c>
      <c r="J29" s="30">
        <f t="shared" si="16"/>
        <v>0</v>
      </c>
      <c r="K29" s="30">
        <f t="shared" si="16"/>
        <v>0</v>
      </c>
      <c r="L29" s="30">
        <f t="shared" si="18"/>
        <v>0</v>
      </c>
      <c r="M29" s="30">
        <f t="shared" si="18"/>
        <v>0</v>
      </c>
      <c r="N29" s="30">
        <f>-N(0)</f>
        <v>0</v>
      </c>
      <c r="O29" s="30">
        <f t="shared" si="17"/>
        <v>0</v>
      </c>
      <c r="P29" s="169">
        <f t="shared" si="2"/>
        <v>10028616.299999999</v>
      </c>
    </row>
    <row r="30" spans="1:16" outlineLevel="1" collapsed="1">
      <c r="A30" s="22"/>
      <c r="B30" s="35" t="str">
        <f>"    "&amp;"Tilskudd frikirkens menigheter"</f>
        <v xml:space="preserve">    Tilskudd frikirkens menigheter</v>
      </c>
      <c r="C30" s="36"/>
      <c r="D30" s="33">
        <f t="shared" ref="D30:O30" si="19">SUM(D26:D29)</f>
        <v>9279612.6999999993</v>
      </c>
      <c r="E30" s="33">
        <f t="shared" si="19"/>
        <v>2399979.1999999997</v>
      </c>
      <c r="F30" s="33">
        <f t="shared" si="19"/>
        <v>0</v>
      </c>
      <c r="G30" s="33">
        <f t="shared" si="19"/>
        <v>2099926.7200000002</v>
      </c>
      <c r="H30" s="33">
        <f t="shared" si="19"/>
        <v>0</v>
      </c>
      <c r="I30" s="33">
        <f t="shared" si="19"/>
        <v>488355.06</v>
      </c>
      <c r="J30" s="33">
        <f t="shared" si="19"/>
        <v>273478.82</v>
      </c>
      <c r="K30" s="33">
        <f t="shared" si="19"/>
        <v>2584948.96</v>
      </c>
      <c r="L30" s="33">
        <f t="shared" si="19"/>
        <v>97671.02</v>
      </c>
      <c r="M30" s="33">
        <f t="shared" si="19"/>
        <v>1035312.7</v>
      </c>
      <c r="N30" s="33">
        <f t="shared" si="19"/>
        <v>3047000</v>
      </c>
      <c r="O30" s="33">
        <f t="shared" si="19"/>
        <v>1074381.1200000001</v>
      </c>
      <c r="P30" s="170">
        <f t="shared" si="2"/>
        <v>22380666.300000001</v>
      </c>
    </row>
    <row r="31" spans="1:16" hidden="1" outlineLevel="2">
      <c r="A31" s="22"/>
      <c r="B31" s="28">
        <v>3211</v>
      </c>
      <c r="C31" s="29" t="s">
        <v>76</v>
      </c>
      <c r="D31" s="30">
        <f t="shared" ref="D31:N34" si="20">-N(0)</f>
        <v>0</v>
      </c>
      <c r="E31" s="30">
        <f t="shared" si="20"/>
        <v>0</v>
      </c>
      <c r="F31" s="30">
        <f t="shared" si="20"/>
        <v>0</v>
      </c>
      <c r="G31" s="30">
        <f t="shared" si="20"/>
        <v>0</v>
      </c>
      <c r="H31" s="30">
        <f t="shared" si="20"/>
        <v>0</v>
      </c>
      <c r="I31" s="30">
        <f t="shared" si="20"/>
        <v>0</v>
      </c>
      <c r="J31" s="30">
        <f t="shared" si="20"/>
        <v>0</v>
      </c>
      <c r="K31" s="30">
        <f t="shared" si="20"/>
        <v>0</v>
      </c>
      <c r="L31" s="30">
        <f t="shared" si="20"/>
        <v>0</v>
      </c>
      <c r="M31" s="30">
        <f t="shared" si="20"/>
        <v>0</v>
      </c>
      <c r="N31" s="30">
        <f>-N(-125000)</f>
        <v>125000</v>
      </c>
      <c r="O31" s="30">
        <f t="shared" ref="O31:O34" si="21">-N(0)</f>
        <v>0</v>
      </c>
      <c r="P31" s="169">
        <f t="shared" si="2"/>
        <v>125000</v>
      </c>
    </row>
    <row r="32" spans="1:16" hidden="1" outlineLevel="2">
      <c r="A32" s="22"/>
      <c r="B32" s="28">
        <v>3455</v>
      </c>
      <c r="C32" s="29" t="s">
        <v>77</v>
      </c>
      <c r="D32" s="30">
        <f t="shared" si="20"/>
        <v>0</v>
      </c>
      <c r="E32" s="30">
        <f>-N(-1236666)</f>
        <v>1236666</v>
      </c>
      <c r="F32" s="30">
        <f t="shared" si="20"/>
        <v>0</v>
      </c>
      <c r="G32" s="30">
        <f t="shared" si="20"/>
        <v>0</v>
      </c>
      <c r="H32" s="30">
        <f t="shared" si="20"/>
        <v>0</v>
      </c>
      <c r="I32" s="30">
        <f t="shared" si="20"/>
        <v>0</v>
      </c>
      <c r="J32" s="30">
        <f t="shared" si="20"/>
        <v>0</v>
      </c>
      <c r="K32" s="30">
        <f>-N(-222362)</f>
        <v>222362</v>
      </c>
      <c r="L32" s="30">
        <f t="shared" si="20"/>
        <v>0</v>
      </c>
      <c r="M32" s="30">
        <f t="shared" si="20"/>
        <v>0</v>
      </c>
      <c r="N32" s="30">
        <f t="shared" si="20"/>
        <v>0</v>
      </c>
      <c r="O32" s="30">
        <f t="shared" si="21"/>
        <v>0</v>
      </c>
      <c r="P32" s="169">
        <f t="shared" si="2"/>
        <v>1459028</v>
      </c>
    </row>
    <row r="33" spans="1:16" hidden="1" outlineLevel="2">
      <c r="A33" s="22"/>
      <c r="B33" s="28">
        <v>3600</v>
      </c>
      <c r="C33" s="29" t="s">
        <v>78</v>
      </c>
      <c r="D33" s="30">
        <f>-N(-418207.33)</f>
        <v>418207.33</v>
      </c>
      <c r="E33" s="30">
        <f>-N(0)</f>
        <v>0</v>
      </c>
      <c r="F33" s="30">
        <f t="shared" si="20"/>
        <v>0</v>
      </c>
      <c r="G33" s="30">
        <f t="shared" si="20"/>
        <v>0</v>
      </c>
      <c r="H33" s="30">
        <f t="shared" si="20"/>
        <v>0</v>
      </c>
      <c r="I33" s="30">
        <f t="shared" si="20"/>
        <v>0</v>
      </c>
      <c r="J33" s="30">
        <f t="shared" si="20"/>
        <v>0</v>
      </c>
      <c r="K33" s="30">
        <f>-N(0)</f>
        <v>0</v>
      </c>
      <c r="L33" s="30">
        <f t="shared" si="20"/>
        <v>0</v>
      </c>
      <c r="M33" s="30">
        <f t="shared" si="20"/>
        <v>0</v>
      </c>
      <c r="N33" s="30">
        <f t="shared" si="20"/>
        <v>0</v>
      </c>
      <c r="O33" s="30">
        <f t="shared" si="21"/>
        <v>0</v>
      </c>
      <c r="P33" s="169">
        <f t="shared" si="2"/>
        <v>418207.33</v>
      </c>
    </row>
    <row r="34" spans="1:16" hidden="1" outlineLevel="2">
      <c r="A34" s="22"/>
      <c r="B34" s="28">
        <v>3900</v>
      </c>
      <c r="C34" s="29" t="s">
        <v>79</v>
      </c>
      <c r="D34" s="30">
        <f>-N(0)</f>
        <v>0</v>
      </c>
      <c r="E34" s="30">
        <f>-N(-274)</f>
        <v>274</v>
      </c>
      <c r="F34" s="30">
        <f t="shared" si="20"/>
        <v>0</v>
      </c>
      <c r="G34" s="30">
        <f>-N(-90549.89)</f>
        <v>90549.89</v>
      </c>
      <c r="H34" s="30">
        <f>-N(0)</f>
        <v>0</v>
      </c>
      <c r="I34" s="30">
        <f>-N(-33210)</f>
        <v>33210</v>
      </c>
      <c r="J34" s="30">
        <f t="shared" si="20"/>
        <v>0</v>
      </c>
      <c r="K34" s="30">
        <f>-N(-127614.86)</f>
        <v>127614.86</v>
      </c>
      <c r="L34" s="30">
        <f t="shared" si="20"/>
        <v>0</v>
      </c>
      <c r="M34" s="30">
        <f t="shared" si="20"/>
        <v>0</v>
      </c>
      <c r="N34" s="30">
        <f t="shared" si="20"/>
        <v>0</v>
      </c>
      <c r="O34" s="30">
        <f t="shared" si="21"/>
        <v>0</v>
      </c>
      <c r="P34" s="169">
        <f t="shared" si="2"/>
        <v>251648.75</v>
      </c>
    </row>
    <row r="35" spans="1:16" outlineLevel="1" collapsed="1">
      <c r="A35" s="22"/>
      <c r="B35" s="35" t="str">
        <f>"    "&amp;"Annen driftsrelatert inntekt"</f>
        <v xml:space="preserve">    Annen driftsrelatert inntekt</v>
      </c>
      <c r="C35" s="36"/>
      <c r="D35" s="33">
        <f t="shared" ref="D35:O35" si="22">SUM(D31:D34)</f>
        <v>418207.33</v>
      </c>
      <c r="E35" s="33">
        <f t="shared" si="22"/>
        <v>1236940</v>
      </c>
      <c r="F35" s="33">
        <f t="shared" si="22"/>
        <v>0</v>
      </c>
      <c r="G35" s="33">
        <f t="shared" si="22"/>
        <v>90549.89</v>
      </c>
      <c r="H35" s="33">
        <f t="shared" si="22"/>
        <v>0</v>
      </c>
      <c r="I35" s="33">
        <f t="shared" si="22"/>
        <v>33210</v>
      </c>
      <c r="J35" s="33">
        <f t="shared" si="22"/>
        <v>0</v>
      </c>
      <c r="K35" s="33">
        <f t="shared" si="22"/>
        <v>349976.86</v>
      </c>
      <c r="L35" s="33">
        <f t="shared" si="22"/>
        <v>0</v>
      </c>
      <c r="M35" s="33">
        <f t="shared" si="22"/>
        <v>0</v>
      </c>
      <c r="N35" s="33">
        <f t="shared" si="22"/>
        <v>125000</v>
      </c>
      <c r="O35" s="33">
        <f t="shared" si="22"/>
        <v>0</v>
      </c>
      <c r="P35" s="170">
        <f t="shared" si="2"/>
        <v>2253884.08</v>
      </c>
    </row>
    <row r="36" spans="1:16">
      <c r="A36" s="22"/>
      <c r="B36" s="41" t="s">
        <v>80</v>
      </c>
      <c r="C36" s="42"/>
      <c r="D36" s="44">
        <f t="shared" ref="D36:O36" si="23">SUM(D25,D30,D35)</f>
        <v>14407196.789999999</v>
      </c>
      <c r="E36" s="44">
        <f t="shared" si="23"/>
        <v>9215472.0600000005</v>
      </c>
      <c r="F36" s="44">
        <f t="shared" si="23"/>
        <v>0</v>
      </c>
      <c r="G36" s="44">
        <f t="shared" si="23"/>
        <v>4684008.5599999996</v>
      </c>
      <c r="H36" s="44">
        <f t="shared" si="23"/>
        <v>0</v>
      </c>
      <c r="I36" s="44">
        <f t="shared" si="23"/>
        <v>1101456.21</v>
      </c>
      <c r="J36" s="44">
        <f t="shared" si="23"/>
        <v>598217.86</v>
      </c>
      <c r="K36" s="44">
        <f t="shared" si="23"/>
        <v>2934925.82</v>
      </c>
      <c r="L36" s="44">
        <f t="shared" si="23"/>
        <v>213649.25</v>
      </c>
      <c r="M36" s="44">
        <f t="shared" si="23"/>
        <v>2264681.94</v>
      </c>
      <c r="N36" s="44">
        <f t="shared" si="23"/>
        <v>3172000</v>
      </c>
      <c r="O36" s="44">
        <f t="shared" si="23"/>
        <v>2350141.6500000004</v>
      </c>
      <c r="P36" s="171">
        <f t="shared" si="2"/>
        <v>40941750.140000001</v>
      </c>
    </row>
    <row r="37" spans="1:16">
      <c r="A37" s="22"/>
      <c r="B37" s="48" t="s">
        <v>348</v>
      </c>
      <c r="C37" s="172"/>
      <c r="D37" s="51">
        <f ca="1">SUM(OSRRefD9x_0)</f>
        <v>16395988.559999999</v>
      </c>
      <c r="E37" s="51">
        <f ca="1">SUM(OSRRefD9x_1)</f>
        <v>9399090.5600000005</v>
      </c>
      <c r="F37" s="51">
        <f ca="1">SUM(OSRRefD9x_2)</f>
        <v>0</v>
      </c>
      <c r="G37" s="51">
        <f ca="1">SUM(OSRRefD9x_3)</f>
        <v>4684008.5599999996</v>
      </c>
      <c r="H37" s="51">
        <f ca="1">SUM(OSRRefD9x_4)</f>
        <v>470235.1</v>
      </c>
      <c r="I37" s="51">
        <f ca="1">SUM(OSRRefD9x_5)</f>
        <v>1101456.21</v>
      </c>
      <c r="J37" s="51">
        <f t="shared" ref="J37:O37" si="24">SUM(J15,J19,J36)</f>
        <v>598217.86</v>
      </c>
      <c r="K37" s="51">
        <f t="shared" si="24"/>
        <v>2934925.82</v>
      </c>
      <c r="L37" s="51">
        <f t="shared" si="24"/>
        <v>213649.25</v>
      </c>
      <c r="M37" s="51">
        <f t="shared" si="24"/>
        <v>2264681.94</v>
      </c>
      <c r="N37" s="51">
        <f t="shared" si="24"/>
        <v>3199600</v>
      </c>
      <c r="O37" s="51">
        <f t="shared" si="24"/>
        <v>2350141.6500000004</v>
      </c>
      <c r="P37" s="173">
        <f t="shared" ca="1" si="2"/>
        <v>43611995.50999999</v>
      </c>
    </row>
    <row r="38" spans="1:16" ht="9" customHeight="1">
      <c r="A38" s="22"/>
      <c r="B38" s="23"/>
      <c r="C38" s="24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168"/>
    </row>
    <row r="39" spans="1:16" hidden="1" outlineLevel="2">
      <c r="A39" s="22"/>
      <c r="B39" s="28">
        <v>4301</v>
      </c>
      <c r="C39" s="29" t="s">
        <v>81</v>
      </c>
      <c r="D39" s="30">
        <f t="shared" ref="D39:G39" si="25">N(0)</f>
        <v>0</v>
      </c>
      <c r="E39" s="30">
        <f t="shared" si="25"/>
        <v>0</v>
      </c>
      <c r="F39" s="30">
        <f t="shared" si="25"/>
        <v>0</v>
      </c>
      <c r="G39" s="30">
        <f t="shared" si="25"/>
        <v>0</v>
      </c>
      <c r="H39" s="30">
        <f>N(26419.37)</f>
        <v>26419.37</v>
      </c>
      <c r="I39" s="30">
        <f t="shared" ref="I39:O39" si="26">N(0)</f>
        <v>0</v>
      </c>
      <c r="J39" s="30">
        <f t="shared" si="26"/>
        <v>0</v>
      </c>
      <c r="K39" s="30">
        <f t="shared" si="26"/>
        <v>0</v>
      </c>
      <c r="L39" s="30">
        <f t="shared" si="26"/>
        <v>0</v>
      </c>
      <c r="M39" s="30">
        <f t="shared" si="26"/>
        <v>0</v>
      </c>
      <c r="N39" s="30">
        <f t="shared" si="26"/>
        <v>0</v>
      </c>
      <c r="O39" s="30">
        <f t="shared" si="26"/>
        <v>0</v>
      </c>
      <c r="P39" s="169">
        <f>SUM(D39:O39)</f>
        <v>26419.37</v>
      </c>
    </row>
    <row r="40" spans="1:16" outlineLevel="1" collapsed="1">
      <c r="A40" s="22"/>
      <c r="B40" s="35" t="str">
        <f>"    "&amp;"Forbruk av innkjøpte varer for videresalg"</f>
        <v xml:space="preserve">    Forbruk av innkjøpte varer for videresalg</v>
      </c>
      <c r="C40" s="36"/>
      <c r="D40" s="33">
        <f t="shared" ref="D40:P41" si="27">SUM(D39)</f>
        <v>0</v>
      </c>
      <c r="E40" s="33">
        <f t="shared" si="27"/>
        <v>0</v>
      </c>
      <c r="F40" s="33">
        <f t="shared" si="27"/>
        <v>0</v>
      </c>
      <c r="G40" s="33">
        <f t="shared" si="27"/>
        <v>0</v>
      </c>
      <c r="H40" s="33">
        <f t="shared" si="27"/>
        <v>26419.37</v>
      </c>
      <c r="I40" s="33">
        <f t="shared" si="27"/>
        <v>0</v>
      </c>
      <c r="J40" s="33">
        <f t="shared" si="27"/>
        <v>0</v>
      </c>
      <c r="K40" s="33">
        <f t="shared" si="27"/>
        <v>0</v>
      </c>
      <c r="L40" s="33">
        <f t="shared" si="27"/>
        <v>0</v>
      </c>
      <c r="M40" s="33">
        <f t="shared" si="27"/>
        <v>0</v>
      </c>
      <c r="N40" s="33">
        <f t="shared" si="27"/>
        <v>0</v>
      </c>
      <c r="O40" s="33">
        <f t="shared" si="27"/>
        <v>0</v>
      </c>
      <c r="P40" s="170">
        <f t="shared" si="27"/>
        <v>26419.37</v>
      </c>
    </row>
    <row r="41" spans="1:16">
      <c r="A41" s="22"/>
      <c r="B41" s="41" t="s">
        <v>16</v>
      </c>
      <c r="C41" s="42"/>
      <c r="D41" s="44">
        <f t="shared" si="27"/>
        <v>0</v>
      </c>
      <c r="E41" s="44">
        <f t="shared" si="27"/>
        <v>0</v>
      </c>
      <c r="F41" s="44">
        <f t="shared" si="27"/>
        <v>0</v>
      </c>
      <c r="G41" s="44">
        <f t="shared" si="27"/>
        <v>0</v>
      </c>
      <c r="H41" s="44">
        <f t="shared" si="27"/>
        <v>26419.37</v>
      </c>
      <c r="I41" s="44">
        <f t="shared" si="27"/>
        <v>0</v>
      </c>
      <c r="J41" s="44">
        <f t="shared" si="27"/>
        <v>0</v>
      </c>
      <c r="K41" s="44">
        <f t="shared" si="27"/>
        <v>0</v>
      </c>
      <c r="L41" s="44">
        <f t="shared" si="27"/>
        <v>0</v>
      </c>
      <c r="M41" s="44">
        <f t="shared" si="27"/>
        <v>0</v>
      </c>
      <c r="N41" s="44">
        <f t="shared" si="27"/>
        <v>0</v>
      </c>
      <c r="O41" s="44">
        <f t="shared" si="27"/>
        <v>0</v>
      </c>
      <c r="P41" s="171">
        <f t="shared" si="27"/>
        <v>26419.37</v>
      </c>
    </row>
    <row r="42" spans="1:16" hidden="1" outlineLevel="2">
      <c r="A42" s="22"/>
      <c r="B42" s="28">
        <v>5000</v>
      </c>
      <c r="C42" s="29" t="s">
        <v>84</v>
      </c>
      <c r="D42" s="30">
        <f>N(1143684.85)</f>
        <v>1143684.8500000001</v>
      </c>
      <c r="E42" s="30">
        <f>N(3782556.03)</f>
        <v>3782556.03</v>
      </c>
      <c r="F42" s="30">
        <f t="shared" ref="F42:H54" si="28">N(0)</f>
        <v>0</v>
      </c>
      <c r="G42" s="30">
        <f t="shared" si="28"/>
        <v>0</v>
      </c>
      <c r="H42" s="30">
        <f>N(103562.97)</f>
        <v>103562.97</v>
      </c>
      <c r="I42" s="30">
        <f t="shared" ref="I42:N54" si="29">N(0)</f>
        <v>0</v>
      </c>
      <c r="J42" s="30">
        <f t="shared" si="29"/>
        <v>0</v>
      </c>
      <c r="K42" s="30">
        <f>N(1732571.87)</f>
        <v>1732571.87</v>
      </c>
      <c r="L42" s="30">
        <f t="shared" ref="L42:N48" si="30">N(0)</f>
        <v>0</v>
      </c>
      <c r="M42" s="30">
        <f>N(691632.56)</f>
        <v>691632.56</v>
      </c>
      <c r="N42" s="30">
        <f>N(1173227.5)</f>
        <v>1173227.5</v>
      </c>
      <c r="O42" s="30">
        <f t="shared" ref="O42:O54" si="31">N(0)</f>
        <v>0</v>
      </c>
      <c r="P42" s="169">
        <f t="shared" ref="P42:P54" si="32">SUM(D42:O42)</f>
        <v>8627235.7799999993</v>
      </c>
    </row>
    <row r="43" spans="1:16" hidden="1" outlineLevel="2">
      <c r="A43" s="22"/>
      <c r="B43" s="28">
        <v>5001</v>
      </c>
      <c r="C43" s="29" t="s">
        <v>85</v>
      </c>
      <c r="D43" s="30">
        <f>N(104238)</f>
        <v>104238</v>
      </c>
      <c r="E43" s="30">
        <f t="shared" ref="E43:E47" si="33">N(0)</f>
        <v>0</v>
      </c>
      <c r="F43" s="30">
        <f t="shared" si="28"/>
        <v>0</v>
      </c>
      <c r="G43" s="30">
        <f t="shared" si="28"/>
        <v>0</v>
      </c>
      <c r="H43" s="30">
        <f t="shared" si="28"/>
        <v>0</v>
      </c>
      <c r="I43" s="30">
        <f t="shared" si="29"/>
        <v>0</v>
      </c>
      <c r="J43" s="30">
        <f t="shared" si="29"/>
        <v>0</v>
      </c>
      <c r="K43" s="30">
        <f t="shared" si="29"/>
        <v>0</v>
      </c>
      <c r="L43" s="30">
        <f t="shared" si="30"/>
        <v>0</v>
      </c>
      <c r="M43" s="30">
        <f t="shared" si="30"/>
        <v>0</v>
      </c>
      <c r="N43" s="30">
        <f t="shared" si="30"/>
        <v>0</v>
      </c>
      <c r="O43" s="30">
        <f t="shared" si="31"/>
        <v>0</v>
      </c>
      <c r="P43" s="169">
        <f t="shared" si="32"/>
        <v>104238</v>
      </c>
    </row>
    <row r="44" spans="1:16" hidden="1" outlineLevel="2">
      <c r="A44" s="22"/>
      <c r="B44" s="28">
        <v>5002</v>
      </c>
      <c r="C44" s="29" t="s">
        <v>86</v>
      </c>
      <c r="D44" s="30">
        <f>N(2053305.05)</f>
        <v>2053305.05</v>
      </c>
      <c r="E44" s="30">
        <f t="shared" si="33"/>
        <v>0</v>
      </c>
      <c r="F44" s="30">
        <f t="shared" si="28"/>
        <v>0</v>
      </c>
      <c r="G44" s="30">
        <f t="shared" si="28"/>
        <v>0</v>
      </c>
      <c r="H44" s="30">
        <f t="shared" si="28"/>
        <v>0</v>
      </c>
      <c r="I44" s="30">
        <f t="shared" si="29"/>
        <v>0</v>
      </c>
      <c r="J44" s="30">
        <f t="shared" si="29"/>
        <v>0</v>
      </c>
      <c r="K44" s="30">
        <f t="shared" si="29"/>
        <v>0</v>
      </c>
      <c r="L44" s="30">
        <f t="shared" si="30"/>
        <v>0</v>
      </c>
      <c r="M44" s="30">
        <f t="shared" si="30"/>
        <v>0</v>
      </c>
      <c r="N44" s="30">
        <f t="shared" si="30"/>
        <v>0</v>
      </c>
      <c r="O44" s="30">
        <f t="shared" si="31"/>
        <v>0</v>
      </c>
      <c r="P44" s="169">
        <f t="shared" si="32"/>
        <v>2053305.05</v>
      </c>
    </row>
    <row r="45" spans="1:16" hidden="1" outlineLevel="2">
      <c r="A45" s="22"/>
      <c r="B45" s="28">
        <v>5006</v>
      </c>
      <c r="C45" s="29" t="s">
        <v>88</v>
      </c>
      <c r="D45" s="30">
        <f>N(0)</f>
        <v>0</v>
      </c>
      <c r="E45" s="30">
        <f t="shared" si="33"/>
        <v>0</v>
      </c>
      <c r="F45" s="30">
        <f t="shared" si="28"/>
        <v>0</v>
      </c>
      <c r="G45" s="30">
        <f t="shared" si="28"/>
        <v>0</v>
      </c>
      <c r="H45" s="30">
        <f t="shared" si="28"/>
        <v>0</v>
      </c>
      <c r="I45" s="30">
        <f t="shared" si="29"/>
        <v>0</v>
      </c>
      <c r="J45" s="30">
        <f t="shared" si="29"/>
        <v>0</v>
      </c>
      <c r="K45" s="30">
        <f t="shared" si="29"/>
        <v>0</v>
      </c>
      <c r="L45" s="30">
        <f t="shared" si="30"/>
        <v>0</v>
      </c>
      <c r="M45" s="30">
        <f t="shared" si="30"/>
        <v>0</v>
      </c>
      <c r="N45" s="30">
        <f t="shared" si="30"/>
        <v>0</v>
      </c>
      <c r="O45" s="30">
        <f t="shared" si="31"/>
        <v>0</v>
      </c>
      <c r="P45" s="169">
        <f t="shared" si="32"/>
        <v>0</v>
      </c>
    </row>
    <row r="46" spans="1:16" hidden="1" outlineLevel="2">
      <c r="A46" s="22"/>
      <c r="B46" s="28">
        <v>5007</v>
      </c>
      <c r="C46" s="29" t="s">
        <v>89</v>
      </c>
      <c r="D46" s="30">
        <f>N(108191.5)</f>
        <v>108191.5</v>
      </c>
      <c r="E46" s="30">
        <f t="shared" si="33"/>
        <v>0</v>
      </c>
      <c r="F46" s="30">
        <f t="shared" si="28"/>
        <v>0</v>
      </c>
      <c r="G46" s="30">
        <f t="shared" si="28"/>
        <v>0</v>
      </c>
      <c r="H46" s="30">
        <f t="shared" si="28"/>
        <v>0</v>
      </c>
      <c r="I46" s="30">
        <f t="shared" si="29"/>
        <v>0</v>
      </c>
      <c r="J46" s="30">
        <f t="shared" si="29"/>
        <v>0</v>
      </c>
      <c r="K46" s="30">
        <f t="shared" si="29"/>
        <v>0</v>
      </c>
      <c r="L46" s="30">
        <f t="shared" si="30"/>
        <v>0</v>
      </c>
      <c r="M46" s="30">
        <f t="shared" si="30"/>
        <v>0</v>
      </c>
      <c r="N46" s="30">
        <f t="shared" si="30"/>
        <v>0</v>
      </c>
      <c r="O46" s="30">
        <f t="shared" si="31"/>
        <v>0</v>
      </c>
      <c r="P46" s="169">
        <f t="shared" si="32"/>
        <v>108191.5</v>
      </c>
    </row>
    <row r="47" spans="1:16" hidden="1" outlineLevel="2">
      <c r="A47" s="22"/>
      <c r="B47" s="28">
        <v>5009</v>
      </c>
      <c r="C47" s="29" t="s">
        <v>91</v>
      </c>
      <c r="D47" s="30">
        <f>N(574820.71)</f>
        <v>574820.71</v>
      </c>
      <c r="E47" s="30">
        <f t="shared" si="33"/>
        <v>0</v>
      </c>
      <c r="F47" s="30">
        <f t="shared" si="28"/>
        <v>0</v>
      </c>
      <c r="G47" s="30">
        <f t="shared" si="28"/>
        <v>0</v>
      </c>
      <c r="H47" s="30">
        <f t="shared" si="28"/>
        <v>0</v>
      </c>
      <c r="I47" s="30">
        <f t="shared" si="29"/>
        <v>0</v>
      </c>
      <c r="J47" s="30">
        <f t="shared" si="29"/>
        <v>0</v>
      </c>
      <c r="K47" s="30">
        <f t="shared" si="29"/>
        <v>0</v>
      </c>
      <c r="L47" s="30">
        <f t="shared" si="30"/>
        <v>0</v>
      </c>
      <c r="M47" s="30">
        <f t="shared" si="30"/>
        <v>0</v>
      </c>
      <c r="N47" s="30">
        <f t="shared" si="30"/>
        <v>0</v>
      </c>
      <c r="O47" s="30">
        <f t="shared" si="31"/>
        <v>0</v>
      </c>
      <c r="P47" s="169">
        <f t="shared" si="32"/>
        <v>574820.71</v>
      </c>
    </row>
    <row r="48" spans="1:16" hidden="1" outlineLevel="2">
      <c r="A48" s="22"/>
      <c r="B48" s="28">
        <v>5010</v>
      </c>
      <c r="C48" s="29" t="s">
        <v>92</v>
      </c>
      <c r="D48" s="30">
        <f>N(506873.75)</f>
        <v>506873.75</v>
      </c>
      <c r="E48" s="30">
        <f>N(492803.4)</f>
        <v>492803.4</v>
      </c>
      <c r="F48" s="30">
        <f t="shared" si="28"/>
        <v>0</v>
      </c>
      <c r="G48" s="30">
        <f t="shared" si="28"/>
        <v>0</v>
      </c>
      <c r="H48" s="30">
        <f>N(12427.55)</f>
        <v>12427.55</v>
      </c>
      <c r="I48" s="30">
        <f t="shared" si="29"/>
        <v>0</v>
      </c>
      <c r="J48" s="30">
        <f t="shared" si="29"/>
        <v>0</v>
      </c>
      <c r="K48" s="30">
        <f>N(217591.64)</f>
        <v>217591.64</v>
      </c>
      <c r="L48" s="30">
        <f t="shared" si="30"/>
        <v>0</v>
      </c>
      <c r="M48" s="30">
        <f>N(85762.15)</f>
        <v>85762.15</v>
      </c>
      <c r="N48" s="30">
        <f>N(164949.12)</f>
        <v>164949.12</v>
      </c>
      <c r="O48" s="30">
        <f t="shared" si="31"/>
        <v>0</v>
      </c>
      <c r="P48" s="169">
        <f t="shared" si="32"/>
        <v>1480407.6099999999</v>
      </c>
    </row>
    <row r="49" spans="1:16" hidden="1" outlineLevel="2">
      <c r="A49" s="22"/>
      <c r="B49" s="28">
        <v>5021</v>
      </c>
      <c r="C49" s="29" t="s">
        <v>93</v>
      </c>
      <c r="D49" s="30">
        <f t="shared" ref="D49:E53" si="34">N(0)</f>
        <v>0</v>
      </c>
      <c r="E49" s="30">
        <f t="shared" si="34"/>
        <v>0</v>
      </c>
      <c r="F49" s="30">
        <f t="shared" si="28"/>
        <v>0</v>
      </c>
      <c r="G49" s="30">
        <f t="shared" si="28"/>
        <v>0</v>
      </c>
      <c r="H49" s="30">
        <f t="shared" si="28"/>
        <v>0</v>
      </c>
      <c r="I49" s="30">
        <f t="shared" si="29"/>
        <v>0</v>
      </c>
      <c r="J49" s="30">
        <f t="shared" si="29"/>
        <v>0</v>
      </c>
      <c r="K49" s="30">
        <f t="shared" si="29"/>
        <v>0</v>
      </c>
      <c r="L49" s="30">
        <f>N(165864.86)</f>
        <v>165864.85999999999</v>
      </c>
      <c r="M49" s="30">
        <f t="shared" ref="M49:N50" si="35">N(0)</f>
        <v>0</v>
      </c>
      <c r="N49" s="30">
        <f t="shared" si="35"/>
        <v>0</v>
      </c>
      <c r="O49" s="30">
        <f t="shared" si="31"/>
        <v>0</v>
      </c>
      <c r="P49" s="169">
        <f t="shared" si="32"/>
        <v>165864.85999999999</v>
      </c>
    </row>
    <row r="50" spans="1:16" hidden="1" outlineLevel="2">
      <c r="A50" s="22"/>
      <c r="B50" s="28">
        <v>5110</v>
      </c>
      <c r="C50" s="29" t="s">
        <v>94</v>
      </c>
      <c r="D50" s="30">
        <f t="shared" si="34"/>
        <v>0</v>
      </c>
      <c r="E50" s="30">
        <f t="shared" si="34"/>
        <v>0</v>
      </c>
      <c r="F50" s="30">
        <f t="shared" si="28"/>
        <v>0</v>
      </c>
      <c r="G50" s="30">
        <f t="shared" si="28"/>
        <v>0</v>
      </c>
      <c r="H50" s="30">
        <f t="shared" si="28"/>
        <v>0</v>
      </c>
      <c r="I50" s="30">
        <f t="shared" si="29"/>
        <v>0</v>
      </c>
      <c r="J50" s="30">
        <f t="shared" si="29"/>
        <v>0</v>
      </c>
      <c r="K50" s="30">
        <f t="shared" si="29"/>
        <v>0</v>
      </c>
      <c r="L50" s="30">
        <f t="shared" si="29"/>
        <v>0</v>
      </c>
      <c r="M50" s="30">
        <f t="shared" si="35"/>
        <v>0</v>
      </c>
      <c r="N50" s="30">
        <f t="shared" si="35"/>
        <v>0</v>
      </c>
      <c r="O50" s="30">
        <f t="shared" si="31"/>
        <v>0</v>
      </c>
      <c r="P50" s="169">
        <f t="shared" si="32"/>
        <v>0</v>
      </c>
    </row>
    <row r="51" spans="1:16" hidden="1" outlineLevel="2">
      <c r="A51" s="22"/>
      <c r="B51" s="28">
        <v>5111</v>
      </c>
      <c r="C51" s="29" t="s">
        <v>95</v>
      </c>
      <c r="D51" s="30">
        <f>N(4050)</f>
        <v>4050</v>
      </c>
      <c r="E51" s="30">
        <f t="shared" si="34"/>
        <v>0</v>
      </c>
      <c r="F51" s="30">
        <f t="shared" si="28"/>
        <v>0</v>
      </c>
      <c r="G51" s="30">
        <f t="shared" si="28"/>
        <v>0</v>
      </c>
      <c r="H51" s="30">
        <f t="shared" si="28"/>
        <v>0</v>
      </c>
      <c r="I51" s="30">
        <f t="shared" si="29"/>
        <v>0</v>
      </c>
      <c r="J51" s="30">
        <f t="shared" si="29"/>
        <v>0</v>
      </c>
      <c r="K51" s="30">
        <f>N(4500)</f>
        <v>4500</v>
      </c>
      <c r="L51" s="30">
        <f t="shared" si="29"/>
        <v>0</v>
      </c>
      <c r="M51" s="30">
        <f>N(9600)</f>
        <v>9600</v>
      </c>
      <c r="N51" s="30">
        <f>N(18920)</f>
        <v>18920</v>
      </c>
      <c r="O51" s="30">
        <f t="shared" si="31"/>
        <v>0</v>
      </c>
      <c r="P51" s="169">
        <f t="shared" si="32"/>
        <v>37070</v>
      </c>
    </row>
    <row r="52" spans="1:16" hidden="1" outlineLevel="2">
      <c r="A52" s="22"/>
      <c r="B52" s="28">
        <v>5113</v>
      </c>
      <c r="C52" s="29" t="s">
        <v>97</v>
      </c>
      <c r="D52" s="30">
        <f>N(0)</f>
        <v>0</v>
      </c>
      <c r="E52" s="30">
        <f t="shared" si="34"/>
        <v>0</v>
      </c>
      <c r="F52" s="30">
        <f t="shared" si="28"/>
        <v>0</v>
      </c>
      <c r="G52" s="30">
        <f t="shared" si="28"/>
        <v>0</v>
      </c>
      <c r="H52" s="30">
        <f t="shared" si="28"/>
        <v>0</v>
      </c>
      <c r="I52" s="30">
        <f t="shared" si="29"/>
        <v>0</v>
      </c>
      <c r="J52" s="30">
        <f t="shared" si="29"/>
        <v>0</v>
      </c>
      <c r="K52" s="30">
        <f t="shared" si="29"/>
        <v>0</v>
      </c>
      <c r="L52" s="30">
        <f t="shared" si="29"/>
        <v>0</v>
      </c>
      <c r="M52" s="30">
        <f t="shared" si="29"/>
        <v>0</v>
      </c>
      <c r="N52" s="30">
        <f t="shared" si="29"/>
        <v>0</v>
      </c>
      <c r="O52" s="30">
        <f t="shared" si="31"/>
        <v>0</v>
      </c>
      <c r="P52" s="169">
        <f t="shared" si="32"/>
        <v>0</v>
      </c>
    </row>
    <row r="53" spans="1:16" hidden="1" outlineLevel="2">
      <c r="A53" s="22"/>
      <c r="B53" s="28">
        <v>5114</v>
      </c>
      <c r="C53" s="29" t="s">
        <v>98</v>
      </c>
      <c r="D53" s="30">
        <f>N(33065)</f>
        <v>33065</v>
      </c>
      <c r="E53" s="30">
        <f t="shared" si="34"/>
        <v>0</v>
      </c>
      <c r="F53" s="30">
        <f t="shared" si="28"/>
        <v>0</v>
      </c>
      <c r="G53" s="30">
        <f t="shared" si="28"/>
        <v>0</v>
      </c>
      <c r="H53" s="30">
        <f t="shared" si="28"/>
        <v>0</v>
      </c>
      <c r="I53" s="30">
        <f t="shared" si="29"/>
        <v>0</v>
      </c>
      <c r="J53" s="30">
        <f t="shared" si="29"/>
        <v>0</v>
      </c>
      <c r="K53" s="30">
        <f t="shared" si="29"/>
        <v>0</v>
      </c>
      <c r="L53" s="30">
        <f t="shared" si="29"/>
        <v>0</v>
      </c>
      <c r="M53" s="30">
        <f t="shared" si="29"/>
        <v>0</v>
      </c>
      <c r="N53" s="30">
        <f t="shared" si="29"/>
        <v>0</v>
      </c>
      <c r="O53" s="30">
        <f t="shared" si="31"/>
        <v>0</v>
      </c>
      <c r="P53" s="169">
        <f t="shared" si="32"/>
        <v>33065</v>
      </c>
    </row>
    <row r="54" spans="1:16" hidden="1" outlineLevel="2">
      <c r="A54" s="22"/>
      <c r="B54" s="28">
        <v>5190</v>
      </c>
      <c r="C54" s="29" t="s">
        <v>99</v>
      </c>
      <c r="D54" s="30">
        <f>N(402362)</f>
        <v>402362</v>
      </c>
      <c r="E54" s="30">
        <f>N(150456)</f>
        <v>150456</v>
      </c>
      <c r="F54" s="30">
        <f t="shared" si="28"/>
        <v>0</v>
      </c>
      <c r="G54" s="30">
        <f t="shared" si="28"/>
        <v>0</v>
      </c>
      <c r="H54" s="30">
        <f t="shared" si="28"/>
        <v>0</v>
      </c>
      <c r="I54" s="30">
        <f t="shared" si="29"/>
        <v>0</v>
      </c>
      <c r="J54" s="30">
        <f t="shared" si="29"/>
        <v>0</v>
      </c>
      <c r="K54" s="30">
        <f t="shared" si="29"/>
        <v>0</v>
      </c>
      <c r="L54" s="30">
        <f t="shared" si="29"/>
        <v>0</v>
      </c>
      <c r="M54" s="30">
        <f>N(23052)</f>
        <v>23052</v>
      </c>
      <c r="N54" s="30">
        <f>N(150704)</f>
        <v>150704</v>
      </c>
      <c r="O54" s="30">
        <f t="shared" si="31"/>
        <v>0</v>
      </c>
      <c r="P54" s="169">
        <f t="shared" si="32"/>
        <v>726574</v>
      </c>
    </row>
    <row r="55" spans="1:16" outlineLevel="1" collapsed="1">
      <c r="A55" s="22"/>
      <c r="B55" s="35" t="str">
        <f>"    "&amp;"Lønn til ansatte"</f>
        <v xml:space="preserve">    Lønn til ansatte</v>
      </c>
      <c r="C55" s="36"/>
      <c r="D55" s="33">
        <f t="shared" ref="D55:P55" si="36">SUM(D42:D54)</f>
        <v>4930590.8600000003</v>
      </c>
      <c r="E55" s="33">
        <f t="shared" si="36"/>
        <v>4425815.43</v>
      </c>
      <c r="F55" s="33">
        <f t="shared" si="36"/>
        <v>0</v>
      </c>
      <c r="G55" s="33">
        <f t="shared" si="36"/>
        <v>0</v>
      </c>
      <c r="H55" s="33">
        <f t="shared" si="36"/>
        <v>115990.52</v>
      </c>
      <c r="I55" s="33">
        <f t="shared" si="36"/>
        <v>0</v>
      </c>
      <c r="J55" s="33">
        <f t="shared" si="36"/>
        <v>0</v>
      </c>
      <c r="K55" s="33">
        <f t="shared" si="36"/>
        <v>1954663.5100000002</v>
      </c>
      <c r="L55" s="33">
        <f t="shared" si="36"/>
        <v>165864.85999999999</v>
      </c>
      <c r="M55" s="33">
        <f t="shared" si="36"/>
        <v>810046.71000000008</v>
      </c>
      <c r="N55" s="33">
        <f t="shared" si="36"/>
        <v>1507800.62</v>
      </c>
      <c r="O55" s="33">
        <f t="shared" si="36"/>
        <v>0</v>
      </c>
      <c r="P55" s="170">
        <f t="shared" si="36"/>
        <v>13910772.509999998</v>
      </c>
    </row>
    <row r="56" spans="1:16" hidden="1" outlineLevel="2">
      <c r="A56" s="22"/>
      <c r="B56" s="28">
        <v>5210</v>
      </c>
      <c r="C56" s="29" t="s">
        <v>100</v>
      </c>
      <c r="D56" s="30">
        <f>N(8572.16)</f>
        <v>8572.16</v>
      </c>
      <c r="E56" s="30">
        <f>N(20106.64)</f>
        <v>20106.64</v>
      </c>
      <c r="F56" s="30">
        <f t="shared" ref="F56:N66" si="37">N(0)</f>
        <v>0</v>
      </c>
      <c r="G56" s="30">
        <f t="shared" si="37"/>
        <v>0</v>
      </c>
      <c r="H56" s="30">
        <f t="shared" si="37"/>
        <v>0</v>
      </c>
      <c r="I56" s="30">
        <f t="shared" si="37"/>
        <v>0</v>
      </c>
      <c r="J56" s="30">
        <f t="shared" si="37"/>
        <v>0</v>
      </c>
      <c r="K56" s="30">
        <f t="shared" si="37"/>
        <v>0</v>
      </c>
      <c r="L56" s="30">
        <f t="shared" si="37"/>
        <v>0</v>
      </c>
      <c r="M56" s="30">
        <f>N(4286.08)</f>
        <v>4286.08</v>
      </c>
      <c r="N56" s="30">
        <f>N(3706.54)</f>
        <v>3706.54</v>
      </c>
      <c r="O56" s="30">
        <f t="shared" ref="O56:O66" si="38">N(0)</f>
        <v>0</v>
      </c>
      <c r="P56" s="169">
        <f t="shared" ref="P56:P66" si="39">SUM(D56:O56)</f>
        <v>36671.42</v>
      </c>
    </row>
    <row r="57" spans="1:16" hidden="1" outlineLevel="2">
      <c r="A57" s="22"/>
      <c r="B57" s="28">
        <v>5220</v>
      </c>
      <c r="C57" s="29" t="s">
        <v>101</v>
      </c>
      <c r="D57" s="30">
        <f t="shared" ref="D57:E57" si="40">N(0)</f>
        <v>0</v>
      </c>
      <c r="E57" s="30">
        <f t="shared" si="40"/>
        <v>0</v>
      </c>
      <c r="F57" s="30">
        <f t="shared" si="37"/>
        <v>0</v>
      </c>
      <c r="G57" s="30">
        <f t="shared" si="37"/>
        <v>0</v>
      </c>
      <c r="H57" s="30">
        <f t="shared" si="37"/>
        <v>0</v>
      </c>
      <c r="I57" s="30">
        <f t="shared" si="37"/>
        <v>0</v>
      </c>
      <c r="J57" s="30">
        <f t="shared" si="37"/>
        <v>0</v>
      </c>
      <c r="K57" s="30">
        <f t="shared" si="37"/>
        <v>0</v>
      </c>
      <c r="L57" s="30">
        <f t="shared" si="37"/>
        <v>0</v>
      </c>
      <c r="M57" s="30">
        <f t="shared" si="37"/>
        <v>0</v>
      </c>
      <c r="N57" s="30">
        <f t="shared" si="37"/>
        <v>0</v>
      </c>
      <c r="O57" s="30">
        <f t="shared" si="38"/>
        <v>0</v>
      </c>
      <c r="P57" s="169">
        <f t="shared" si="39"/>
        <v>0</v>
      </c>
    </row>
    <row r="58" spans="1:16" hidden="1" outlineLevel="2">
      <c r="A58" s="22"/>
      <c r="B58" s="28">
        <v>5250</v>
      </c>
      <c r="C58" s="29" t="s">
        <v>102</v>
      </c>
      <c r="D58" s="30">
        <f>N(149.69)</f>
        <v>149.69</v>
      </c>
      <c r="E58" s="30">
        <f>N(285.17)</f>
        <v>285.17</v>
      </c>
      <c r="F58" s="30">
        <f t="shared" si="37"/>
        <v>0</v>
      </c>
      <c r="G58" s="30">
        <f t="shared" si="37"/>
        <v>0</v>
      </c>
      <c r="H58" s="30">
        <f>N(7.06)</f>
        <v>7.06</v>
      </c>
      <c r="I58" s="30">
        <f t="shared" si="37"/>
        <v>0</v>
      </c>
      <c r="J58" s="30">
        <f t="shared" si="37"/>
        <v>0</v>
      </c>
      <c r="K58" s="30">
        <f>N(218.47)</f>
        <v>218.47</v>
      </c>
      <c r="L58" s="30">
        <f t="shared" si="37"/>
        <v>0</v>
      </c>
      <c r="M58" s="30">
        <f>N(5.95)</f>
        <v>5.95</v>
      </c>
      <c r="N58" s="30">
        <f>N(177.76)</f>
        <v>177.76</v>
      </c>
      <c r="O58" s="30">
        <f t="shared" si="38"/>
        <v>0</v>
      </c>
      <c r="P58" s="169">
        <f t="shared" si="39"/>
        <v>844.1</v>
      </c>
    </row>
    <row r="59" spans="1:16" hidden="1" outlineLevel="2">
      <c r="A59" s="22"/>
      <c r="B59" s="28">
        <v>5251</v>
      </c>
      <c r="C59" s="29" t="s">
        <v>103</v>
      </c>
      <c r="D59" s="30">
        <f>N(2938.97)</f>
        <v>2938.97</v>
      </c>
      <c r="E59" s="30">
        <f>N(3564.23)</f>
        <v>3564.23</v>
      </c>
      <c r="F59" s="30">
        <f t="shared" si="37"/>
        <v>0</v>
      </c>
      <c r="G59" s="30">
        <f t="shared" si="37"/>
        <v>0</v>
      </c>
      <c r="H59" s="30">
        <f>N(134.68)</f>
        <v>134.68</v>
      </c>
      <c r="I59" s="30">
        <f t="shared" si="37"/>
        <v>0</v>
      </c>
      <c r="J59" s="30">
        <f t="shared" si="37"/>
        <v>0</v>
      </c>
      <c r="K59" s="30">
        <f>N(2306.89)</f>
        <v>2306.89</v>
      </c>
      <c r="L59" s="30">
        <f t="shared" si="37"/>
        <v>0</v>
      </c>
      <c r="M59" s="30">
        <f>N(112.28)</f>
        <v>112.28</v>
      </c>
      <c r="N59" s="30">
        <f>N(2144.13)</f>
        <v>2144.13</v>
      </c>
      <c r="O59" s="30">
        <f t="shared" si="38"/>
        <v>0</v>
      </c>
      <c r="P59" s="169">
        <f t="shared" si="39"/>
        <v>11201.18</v>
      </c>
    </row>
    <row r="60" spans="1:16" hidden="1" outlineLevel="2">
      <c r="A60" s="22"/>
      <c r="B60" s="28">
        <v>5252</v>
      </c>
      <c r="C60" s="29" t="s">
        <v>104</v>
      </c>
      <c r="D60" s="30">
        <f>N(1190.1)</f>
        <v>1190.0999999999999</v>
      </c>
      <c r="E60" s="30">
        <f>N(1428.12)</f>
        <v>1428.12</v>
      </c>
      <c r="F60" s="30">
        <f t="shared" si="37"/>
        <v>0</v>
      </c>
      <c r="G60" s="30">
        <f t="shared" si="37"/>
        <v>0</v>
      </c>
      <c r="H60" s="30">
        <f>N(357.03)</f>
        <v>357.03</v>
      </c>
      <c r="I60" s="30">
        <f t="shared" si="37"/>
        <v>0</v>
      </c>
      <c r="J60" s="30">
        <f t="shared" si="37"/>
        <v>0</v>
      </c>
      <c r="K60" s="30">
        <f>N(1428.12)</f>
        <v>1428.12</v>
      </c>
      <c r="L60" s="30">
        <f t="shared" si="37"/>
        <v>0</v>
      </c>
      <c r="M60" s="30">
        <f>N(74.35)</f>
        <v>74.349999999999994</v>
      </c>
      <c r="N60" s="30">
        <f>N(1552.12)</f>
        <v>1552.12</v>
      </c>
      <c r="O60" s="30">
        <f t="shared" si="38"/>
        <v>0</v>
      </c>
      <c r="P60" s="169">
        <f t="shared" si="39"/>
        <v>6029.84</v>
      </c>
    </row>
    <row r="61" spans="1:16" hidden="1" outlineLevel="2">
      <c r="A61" s="22"/>
      <c r="B61" s="28">
        <v>5253</v>
      </c>
      <c r="C61" s="29" t="s">
        <v>105</v>
      </c>
      <c r="D61" s="30">
        <f>N(4877.4)</f>
        <v>4877.3999999999996</v>
      </c>
      <c r="E61" s="30">
        <f>N(5852.88)</f>
        <v>5852.88</v>
      </c>
      <c r="F61" s="30">
        <f t="shared" si="37"/>
        <v>0</v>
      </c>
      <c r="G61" s="30">
        <f t="shared" si="37"/>
        <v>0</v>
      </c>
      <c r="H61" s="30">
        <f>N(1463.22)</f>
        <v>1463.22</v>
      </c>
      <c r="I61" s="30">
        <f t="shared" si="37"/>
        <v>0</v>
      </c>
      <c r="J61" s="30">
        <f t="shared" si="37"/>
        <v>0</v>
      </c>
      <c r="K61" s="30">
        <f>N(5852.88)</f>
        <v>5852.88</v>
      </c>
      <c r="L61" s="30">
        <f t="shared" si="37"/>
        <v>0</v>
      </c>
      <c r="M61" s="30">
        <f>N(304.82)</f>
        <v>304.82</v>
      </c>
      <c r="N61" s="30">
        <f>N(6360.96)</f>
        <v>6360.96</v>
      </c>
      <c r="O61" s="30">
        <f t="shared" si="38"/>
        <v>0</v>
      </c>
      <c r="P61" s="169">
        <f t="shared" si="39"/>
        <v>24712.159999999996</v>
      </c>
    </row>
    <row r="62" spans="1:16" hidden="1" outlineLevel="2">
      <c r="A62" s="22"/>
      <c r="B62" s="28">
        <v>5254</v>
      </c>
      <c r="C62" s="29" t="s">
        <v>106</v>
      </c>
      <c r="D62" s="30">
        <f>N(864)</f>
        <v>864</v>
      </c>
      <c r="E62" s="30">
        <f>N(1728)</f>
        <v>1728</v>
      </c>
      <c r="F62" s="30">
        <f t="shared" si="37"/>
        <v>0</v>
      </c>
      <c r="G62" s="30">
        <f t="shared" si="37"/>
        <v>0</v>
      </c>
      <c r="H62" s="30">
        <f>N(432)</f>
        <v>432</v>
      </c>
      <c r="I62" s="30">
        <f t="shared" si="37"/>
        <v>0</v>
      </c>
      <c r="J62" s="30">
        <f t="shared" si="37"/>
        <v>0</v>
      </c>
      <c r="K62" s="30">
        <f>N(1728)</f>
        <v>1728</v>
      </c>
      <c r="L62" s="30">
        <f t="shared" si="37"/>
        <v>0</v>
      </c>
      <c r="M62" s="30">
        <f>N(90)</f>
        <v>90</v>
      </c>
      <c r="N62" s="30">
        <f>N(1878)</f>
        <v>1878</v>
      </c>
      <c r="O62" s="30">
        <f t="shared" si="38"/>
        <v>0</v>
      </c>
      <c r="P62" s="169">
        <f t="shared" si="39"/>
        <v>6720</v>
      </c>
    </row>
    <row r="63" spans="1:16" hidden="1" outlineLevel="2">
      <c r="A63" s="22"/>
      <c r="B63" s="28">
        <v>5286</v>
      </c>
      <c r="C63" s="29" t="s">
        <v>109</v>
      </c>
      <c r="D63" s="30">
        <f t="shared" ref="D63:E63" si="41">N(0)</f>
        <v>0</v>
      </c>
      <c r="E63" s="30">
        <f t="shared" si="41"/>
        <v>0</v>
      </c>
      <c r="F63" s="30">
        <f t="shared" si="37"/>
        <v>0</v>
      </c>
      <c r="G63" s="30">
        <f t="shared" si="37"/>
        <v>0</v>
      </c>
      <c r="H63" s="30">
        <f>N(0)</f>
        <v>0</v>
      </c>
      <c r="I63" s="30">
        <f t="shared" si="37"/>
        <v>0</v>
      </c>
      <c r="J63" s="30">
        <f t="shared" si="37"/>
        <v>0</v>
      </c>
      <c r="K63" s="30">
        <f>N(0)</f>
        <v>0</v>
      </c>
      <c r="L63" s="30">
        <f t="shared" si="37"/>
        <v>0</v>
      </c>
      <c r="M63" s="30">
        <f t="shared" si="37"/>
        <v>0</v>
      </c>
      <c r="N63" s="30">
        <f t="shared" si="37"/>
        <v>0</v>
      </c>
      <c r="O63" s="30">
        <f t="shared" si="38"/>
        <v>0</v>
      </c>
      <c r="P63" s="169">
        <f t="shared" si="39"/>
        <v>0</v>
      </c>
    </row>
    <row r="64" spans="1:16" hidden="1" outlineLevel="2">
      <c r="A64" s="22"/>
      <c r="B64" s="28">
        <v>5290</v>
      </c>
      <c r="C64" s="29" t="s">
        <v>110</v>
      </c>
      <c r="D64" s="30">
        <f>N(-18592.32)</f>
        <v>-18592.32</v>
      </c>
      <c r="E64" s="30">
        <f>N(-238863.51)</f>
        <v>-238863.51</v>
      </c>
      <c r="F64" s="30">
        <f t="shared" si="37"/>
        <v>0</v>
      </c>
      <c r="G64" s="30">
        <f t="shared" si="37"/>
        <v>0</v>
      </c>
      <c r="H64" s="30">
        <f>N(-2393.99)</f>
        <v>-2393.9899999999998</v>
      </c>
      <c r="I64" s="30">
        <f t="shared" si="37"/>
        <v>0</v>
      </c>
      <c r="J64" s="30">
        <f t="shared" si="37"/>
        <v>0</v>
      </c>
      <c r="K64" s="30">
        <f>N(-11534.36)</f>
        <v>-11534.36</v>
      </c>
      <c r="L64" s="30">
        <f t="shared" si="37"/>
        <v>0</v>
      </c>
      <c r="M64" s="30">
        <f>N(-4873.48)</f>
        <v>-4873.4799999999996</v>
      </c>
      <c r="N64" s="30">
        <f>N(-15819.51)</f>
        <v>-15819.51</v>
      </c>
      <c r="O64" s="30">
        <f t="shared" si="38"/>
        <v>0</v>
      </c>
      <c r="P64" s="169">
        <f t="shared" si="39"/>
        <v>-292077.17</v>
      </c>
    </row>
    <row r="65" spans="1:16" hidden="1" outlineLevel="2">
      <c r="A65" s="22"/>
      <c r="B65" s="28">
        <v>5420</v>
      </c>
      <c r="C65" s="29" t="s">
        <v>111</v>
      </c>
      <c r="D65" s="30">
        <f t="shared" ref="D65:D66" si="42">N(0)</f>
        <v>0</v>
      </c>
      <c r="E65" s="30">
        <f>N(631038.68)</f>
        <v>631038.68000000005</v>
      </c>
      <c r="F65" s="30">
        <f t="shared" si="37"/>
        <v>0</v>
      </c>
      <c r="G65" s="30">
        <f t="shared" si="37"/>
        <v>0</v>
      </c>
      <c r="H65" s="30">
        <f t="shared" si="37"/>
        <v>0</v>
      </c>
      <c r="I65" s="30">
        <f t="shared" si="37"/>
        <v>0</v>
      </c>
      <c r="J65" s="30">
        <f t="shared" si="37"/>
        <v>0</v>
      </c>
      <c r="K65" s="30">
        <f t="shared" si="37"/>
        <v>0</v>
      </c>
      <c r="L65" s="30">
        <f t="shared" si="37"/>
        <v>0</v>
      </c>
      <c r="M65" s="30">
        <f t="shared" si="37"/>
        <v>0</v>
      </c>
      <c r="N65" s="30">
        <f t="shared" si="37"/>
        <v>0</v>
      </c>
      <c r="O65" s="30">
        <f t="shared" si="38"/>
        <v>0</v>
      </c>
      <c r="P65" s="169">
        <f t="shared" si="39"/>
        <v>631038.68000000005</v>
      </c>
    </row>
    <row r="66" spans="1:16" hidden="1" outlineLevel="2">
      <c r="A66" s="22"/>
      <c r="B66" s="28">
        <v>5490</v>
      </c>
      <c r="C66" s="29" t="s">
        <v>112</v>
      </c>
      <c r="D66" s="30">
        <f t="shared" si="42"/>
        <v>0</v>
      </c>
      <c r="E66" s="30">
        <f>N(-425140.21)</f>
        <v>-425140.21</v>
      </c>
      <c r="F66" s="30">
        <f t="shared" si="37"/>
        <v>0</v>
      </c>
      <c r="G66" s="30">
        <f t="shared" si="37"/>
        <v>0</v>
      </c>
      <c r="H66" s="30">
        <f t="shared" si="37"/>
        <v>0</v>
      </c>
      <c r="I66" s="30">
        <f t="shared" si="37"/>
        <v>0</v>
      </c>
      <c r="J66" s="30">
        <f t="shared" si="37"/>
        <v>0</v>
      </c>
      <c r="K66" s="30">
        <f t="shared" si="37"/>
        <v>0</v>
      </c>
      <c r="L66" s="30">
        <f t="shared" si="37"/>
        <v>0</v>
      </c>
      <c r="M66" s="30">
        <f t="shared" si="37"/>
        <v>0</v>
      </c>
      <c r="N66" s="30">
        <f t="shared" si="37"/>
        <v>0</v>
      </c>
      <c r="O66" s="30">
        <f t="shared" si="38"/>
        <v>0</v>
      </c>
      <c r="P66" s="169">
        <f t="shared" si="39"/>
        <v>-425140.21</v>
      </c>
    </row>
    <row r="67" spans="1:16" outlineLevel="1" collapsed="1">
      <c r="A67" s="22"/>
      <c r="B67" s="35" t="str">
        <f>"    "&amp;"Fordel i arbeidsforhold"</f>
        <v xml:space="preserve">    Fordel i arbeidsforhold</v>
      </c>
      <c r="C67" s="36"/>
      <c r="D67" s="33">
        <f t="shared" ref="D67:P67" si="43">SUM(D56:D66)</f>
        <v>0</v>
      </c>
      <c r="E67" s="33">
        <f t="shared" si="43"/>
        <v>0</v>
      </c>
      <c r="F67" s="33">
        <f t="shared" si="43"/>
        <v>0</v>
      </c>
      <c r="G67" s="33">
        <f t="shared" si="43"/>
        <v>0</v>
      </c>
      <c r="H67" s="33">
        <f t="shared" si="43"/>
        <v>0</v>
      </c>
      <c r="I67" s="33">
        <f t="shared" si="43"/>
        <v>0</v>
      </c>
      <c r="J67" s="33">
        <f t="shared" si="43"/>
        <v>0</v>
      </c>
      <c r="K67" s="33">
        <f t="shared" si="43"/>
        <v>0</v>
      </c>
      <c r="L67" s="33">
        <f t="shared" si="43"/>
        <v>0</v>
      </c>
      <c r="M67" s="33">
        <f t="shared" si="43"/>
        <v>0</v>
      </c>
      <c r="N67" s="33">
        <f t="shared" si="43"/>
        <v>0</v>
      </c>
      <c r="O67" s="33">
        <f t="shared" si="43"/>
        <v>0</v>
      </c>
      <c r="P67" s="170">
        <f t="shared" si="43"/>
        <v>0</v>
      </c>
    </row>
    <row r="68" spans="1:16" hidden="1" outlineLevel="2">
      <c r="A68" s="22"/>
      <c r="B68" s="28">
        <v>5312</v>
      </c>
      <c r="C68" s="29" t="s">
        <v>113</v>
      </c>
      <c r="D68" s="30">
        <f>N(84051.22)</f>
        <v>84051.22</v>
      </c>
      <c r="E68" s="30">
        <f>N(53113.34)</f>
        <v>53113.34</v>
      </c>
      <c r="F68" s="30">
        <f t="shared" ref="F68:H70" si="44">N(0)</f>
        <v>0</v>
      </c>
      <c r="G68" s="30">
        <f t="shared" si="44"/>
        <v>0</v>
      </c>
      <c r="H68" s="30">
        <f>N(1323.58)</f>
        <v>1323.58</v>
      </c>
      <c r="I68" s="30">
        <f t="shared" ref="I68:K70" si="45">N(0)</f>
        <v>0</v>
      </c>
      <c r="J68" s="30">
        <f t="shared" si="45"/>
        <v>0</v>
      </c>
      <c r="K68" s="30">
        <f>N(19202.95)</f>
        <v>19202.95</v>
      </c>
      <c r="L68" s="30">
        <f t="shared" ref="L68:M70" si="46">N(0)</f>
        <v>0</v>
      </c>
      <c r="M68" s="30">
        <f>N(6499.66)</f>
        <v>6499.66</v>
      </c>
      <c r="N68" s="30">
        <f>N(33469.83)</f>
        <v>33469.83</v>
      </c>
      <c r="O68" s="30">
        <f t="shared" ref="O68:O70" si="47">N(0)</f>
        <v>0</v>
      </c>
      <c r="P68" s="169">
        <f>SUM(D68:O68)</f>
        <v>197660.58000000002</v>
      </c>
    </row>
    <row r="69" spans="1:16" hidden="1" outlineLevel="2">
      <c r="A69" s="22"/>
      <c r="B69" s="28">
        <v>5326</v>
      </c>
      <c r="C69" s="29" t="s">
        <v>114</v>
      </c>
      <c r="D69" s="30">
        <f>N(121086)</f>
        <v>121086</v>
      </c>
      <c r="E69" s="30">
        <f t="shared" ref="E69:E70" si="48">N(0)</f>
        <v>0</v>
      </c>
      <c r="F69" s="30">
        <f t="shared" si="44"/>
        <v>0</v>
      </c>
      <c r="G69" s="30">
        <f t="shared" si="44"/>
        <v>0</v>
      </c>
      <c r="H69" s="30">
        <f t="shared" si="44"/>
        <v>0</v>
      </c>
      <c r="I69" s="30">
        <f t="shared" si="45"/>
        <v>0</v>
      </c>
      <c r="J69" s="30">
        <f t="shared" si="45"/>
        <v>0</v>
      </c>
      <c r="K69" s="30">
        <f t="shared" si="45"/>
        <v>0</v>
      </c>
      <c r="L69" s="30">
        <f t="shared" si="46"/>
        <v>0</v>
      </c>
      <c r="M69" s="30">
        <f t="shared" si="46"/>
        <v>0</v>
      </c>
      <c r="N69" s="30">
        <f>N(0)</f>
        <v>0</v>
      </c>
      <c r="O69" s="30">
        <f t="shared" si="47"/>
        <v>0</v>
      </c>
      <c r="P69" s="169">
        <f>SUM(D69:O69)</f>
        <v>121086</v>
      </c>
    </row>
    <row r="70" spans="1:16" hidden="1" outlineLevel="2">
      <c r="A70" s="22"/>
      <c r="B70" s="28">
        <v>5391</v>
      </c>
      <c r="C70" s="29" t="s">
        <v>115</v>
      </c>
      <c r="D70" s="30">
        <f>N(39200)</f>
        <v>39200</v>
      </c>
      <c r="E70" s="30">
        <f t="shared" si="48"/>
        <v>0</v>
      </c>
      <c r="F70" s="30">
        <f t="shared" si="44"/>
        <v>0</v>
      </c>
      <c r="G70" s="30">
        <f t="shared" si="44"/>
        <v>0</v>
      </c>
      <c r="H70" s="30">
        <f t="shared" si="44"/>
        <v>0</v>
      </c>
      <c r="I70" s="30">
        <f t="shared" si="45"/>
        <v>0</v>
      </c>
      <c r="J70" s="30">
        <f t="shared" si="45"/>
        <v>0</v>
      </c>
      <c r="K70" s="30">
        <f t="shared" si="45"/>
        <v>0</v>
      </c>
      <c r="L70" s="30">
        <f t="shared" si="46"/>
        <v>0</v>
      </c>
      <c r="M70" s="30">
        <f t="shared" si="46"/>
        <v>0</v>
      </c>
      <c r="N70" s="30">
        <f>N(9425)</f>
        <v>9425</v>
      </c>
      <c r="O70" s="30">
        <f t="shared" si="47"/>
        <v>0</v>
      </c>
      <c r="P70" s="169">
        <f>SUM(D70:O70)</f>
        <v>48625</v>
      </c>
    </row>
    <row r="71" spans="1:16" outlineLevel="1" collapsed="1">
      <c r="A71" s="22"/>
      <c r="B71" s="35" t="str">
        <f>"    "&amp;"Annen oppgavepliktig godtgjørelse"</f>
        <v xml:space="preserve">    Annen oppgavepliktig godtgjørelse</v>
      </c>
      <c r="C71" s="36"/>
      <c r="D71" s="33">
        <f t="shared" ref="D71:P71" si="49">SUM(D68:D70)</f>
        <v>244337.22</v>
      </c>
      <c r="E71" s="33">
        <f t="shared" si="49"/>
        <v>53113.34</v>
      </c>
      <c r="F71" s="33">
        <f t="shared" si="49"/>
        <v>0</v>
      </c>
      <c r="G71" s="33">
        <f t="shared" si="49"/>
        <v>0</v>
      </c>
      <c r="H71" s="33">
        <f t="shared" si="49"/>
        <v>1323.58</v>
      </c>
      <c r="I71" s="33">
        <f t="shared" si="49"/>
        <v>0</v>
      </c>
      <c r="J71" s="33">
        <f t="shared" si="49"/>
        <v>0</v>
      </c>
      <c r="K71" s="33">
        <f t="shared" si="49"/>
        <v>19202.95</v>
      </c>
      <c r="L71" s="33">
        <f t="shared" si="49"/>
        <v>0</v>
      </c>
      <c r="M71" s="33">
        <f t="shared" si="49"/>
        <v>6499.66</v>
      </c>
      <c r="N71" s="33">
        <f t="shared" si="49"/>
        <v>42894.83</v>
      </c>
      <c r="O71" s="33">
        <f t="shared" si="49"/>
        <v>0</v>
      </c>
      <c r="P71" s="170">
        <f t="shared" si="49"/>
        <v>367371.58</v>
      </c>
    </row>
    <row r="72" spans="1:16" hidden="1" outlineLevel="2">
      <c r="A72" s="22"/>
      <c r="B72" s="28">
        <v>5400</v>
      </c>
      <c r="C72" s="29" t="s">
        <v>116</v>
      </c>
      <c r="D72" s="30">
        <f>N(260410.13)</f>
        <v>260410.13</v>
      </c>
      <c r="E72" s="30">
        <f>N(626964.76)</f>
        <v>626964.76</v>
      </c>
      <c r="F72" s="30">
        <f t="shared" ref="F72:G73" si="50">N(0)</f>
        <v>0</v>
      </c>
      <c r="G72" s="30">
        <f t="shared" si="50"/>
        <v>0</v>
      </c>
      <c r="H72" s="30">
        <f>N(14939.82)</f>
        <v>14939.82</v>
      </c>
      <c r="I72" s="30">
        <f t="shared" ref="I72:J73" si="51">N(0)</f>
        <v>0</v>
      </c>
      <c r="J72" s="30">
        <f t="shared" si="51"/>
        <v>0</v>
      </c>
      <c r="K72" s="30">
        <f>N(246661.46)</f>
        <v>246661.46</v>
      </c>
      <c r="L72" s="30">
        <f t="shared" ref="L72:L73" si="52">N(0)</f>
        <v>0</v>
      </c>
      <c r="M72" s="30">
        <f>N(99561.01)</f>
        <v>99561.01</v>
      </c>
      <c r="N72" s="30">
        <f>N(170322.93)</f>
        <v>170322.93</v>
      </c>
      <c r="O72" s="30">
        <f t="shared" ref="O72:O73" si="53">N(0)</f>
        <v>0</v>
      </c>
      <c r="P72" s="169">
        <f>SUM(D72:O72)</f>
        <v>1418860.1099999999</v>
      </c>
    </row>
    <row r="73" spans="1:16" hidden="1" outlineLevel="2">
      <c r="A73" s="22"/>
      <c r="B73" s="28">
        <v>5410</v>
      </c>
      <c r="C73" s="29" t="s">
        <v>117</v>
      </c>
      <c r="D73" s="30">
        <f>N(36279.19)</f>
        <v>36279.19</v>
      </c>
      <c r="E73" s="30">
        <f>N(69485.4)</f>
        <v>69485.399999999994</v>
      </c>
      <c r="F73" s="30">
        <f t="shared" si="50"/>
        <v>0</v>
      </c>
      <c r="G73" s="30">
        <f t="shared" si="50"/>
        <v>0</v>
      </c>
      <c r="H73" s="30">
        <f>N(1752.29)</f>
        <v>1752.29</v>
      </c>
      <c r="I73" s="30">
        <f t="shared" si="51"/>
        <v>0</v>
      </c>
      <c r="J73" s="30">
        <f t="shared" si="51"/>
        <v>0</v>
      </c>
      <c r="K73" s="30">
        <f>N(30680.49)</f>
        <v>30680.49</v>
      </c>
      <c r="L73" s="30">
        <f t="shared" si="52"/>
        <v>0</v>
      </c>
      <c r="M73" s="30">
        <f>N(12092.48)</f>
        <v>12092.48</v>
      </c>
      <c r="N73" s="30">
        <f>N(23257.9)</f>
        <v>23257.9</v>
      </c>
      <c r="O73" s="30">
        <f t="shared" si="53"/>
        <v>0</v>
      </c>
      <c r="P73" s="169">
        <f>SUM(D73:O73)</f>
        <v>173547.75</v>
      </c>
    </row>
    <row r="74" spans="1:16" outlineLevel="1" collapsed="1">
      <c r="A74" s="22"/>
      <c r="B74" s="35" t="str">
        <f>"    "&amp;"Arbeidsgiveravgift og pensjonskostnad"</f>
        <v xml:space="preserve">    Arbeidsgiveravgift og pensjonskostnad</v>
      </c>
      <c r="C74" s="36"/>
      <c r="D74" s="33">
        <f t="shared" ref="D74:P74" si="54">SUM(D72:D73)</f>
        <v>296689.32</v>
      </c>
      <c r="E74" s="33">
        <f t="shared" si="54"/>
        <v>696450.16</v>
      </c>
      <c r="F74" s="33">
        <f t="shared" si="54"/>
        <v>0</v>
      </c>
      <c r="G74" s="33">
        <f t="shared" si="54"/>
        <v>0</v>
      </c>
      <c r="H74" s="33">
        <f t="shared" si="54"/>
        <v>16692.11</v>
      </c>
      <c r="I74" s="33">
        <f t="shared" si="54"/>
        <v>0</v>
      </c>
      <c r="J74" s="33">
        <f t="shared" si="54"/>
        <v>0</v>
      </c>
      <c r="K74" s="33">
        <f t="shared" si="54"/>
        <v>277341.95</v>
      </c>
      <c r="L74" s="33">
        <f t="shared" si="54"/>
        <v>0</v>
      </c>
      <c r="M74" s="33">
        <f t="shared" si="54"/>
        <v>111653.48999999999</v>
      </c>
      <c r="N74" s="33">
        <f t="shared" si="54"/>
        <v>193580.83</v>
      </c>
      <c r="O74" s="33">
        <f t="shared" si="54"/>
        <v>0</v>
      </c>
      <c r="P74" s="170">
        <f t="shared" si="54"/>
        <v>1592407.8599999999</v>
      </c>
    </row>
    <row r="75" spans="1:16" hidden="1" outlineLevel="2">
      <c r="A75" s="22"/>
      <c r="B75" s="28">
        <v>5800</v>
      </c>
      <c r="C75" s="29" t="s">
        <v>118</v>
      </c>
      <c r="D75" s="30">
        <f>N(-402362)</f>
        <v>-402362</v>
      </c>
      <c r="E75" s="30">
        <f>N(-150456)</f>
        <v>-150456</v>
      </c>
      <c r="F75" s="30">
        <f t="shared" ref="F75:N76" si="55">N(0)</f>
        <v>0</v>
      </c>
      <c r="G75" s="30">
        <f t="shared" si="55"/>
        <v>0</v>
      </c>
      <c r="H75" s="30">
        <f t="shared" si="55"/>
        <v>0</v>
      </c>
      <c r="I75" s="30">
        <f t="shared" si="55"/>
        <v>0</v>
      </c>
      <c r="J75" s="30">
        <f t="shared" si="55"/>
        <v>0</v>
      </c>
      <c r="K75" s="30">
        <f t="shared" si="55"/>
        <v>0</v>
      </c>
      <c r="L75" s="30">
        <f t="shared" si="55"/>
        <v>0</v>
      </c>
      <c r="M75" s="30">
        <f>N(-23052)</f>
        <v>-23052</v>
      </c>
      <c r="N75" s="30">
        <f>N(-150704)</f>
        <v>-150704</v>
      </c>
      <c r="O75" s="30">
        <f t="shared" ref="O75:O76" si="56">N(0)</f>
        <v>0</v>
      </c>
      <c r="P75" s="169">
        <f>SUM(D75:O75)</f>
        <v>-726574</v>
      </c>
    </row>
    <row r="76" spans="1:16" hidden="1" outlineLevel="2">
      <c r="A76" s="22"/>
      <c r="B76" s="28">
        <v>5802</v>
      </c>
      <c r="C76" s="29" t="s">
        <v>119</v>
      </c>
      <c r="D76" s="30">
        <f>N(-1272)</f>
        <v>-1272</v>
      </c>
      <c r="E76" s="30">
        <f>N(0)</f>
        <v>0</v>
      </c>
      <c r="F76" s="30">
        <f t="shared" si="55"/>
        <v>0</v>
      </c>
      <c r="G76" s="30">
        <f t="shared" si="55"/>
        <v>0</v>
      </c>
      <c r="H76" s="30">
        <f t="shared" si="55"/>
        <v>0</v>
      </c>
      <c r="I76" s="30">
        <f t="shared" si="55"/>
        <v>0</v>
      </c>
      <c r="J76" s="30">
        <f t="shared" si="55"/>
        <v>0</v>
      </c>
      <c r="K76" s="30">
        <f t="shared" si="55"/>
        <v>0</v>
      </c>
      <c r="L76" s="30">
        <f t="shared" si="55"/>
        <v>0</v>
      </c>
      <c r="M76" s="30">
        <f t="shared" si="55"/>
        <v>0</v>
      </c>
      <c r="N76" s="30">
        <f t="shared" si="55"/>
        <v>0</v>
      </c>
      <c r="O76" s="30">
        <f t="shared" si="56"/>
        <v>0</v>
      </c>
      <c r="P76" s="169">
        <f>SUM(D76:O76)</f>
        <v>-1272</v>
      </c>
    </row>
    <row r="77" spans="1:16" outlineLevel="1" collapsed="1">
      <c r="A77" s="22"/>
      <c r="B77" s="35" t="str">
        <f>"    "&amp;"Offentlig refusjon vedrørende arbeidskraft"</f>
        <v xml:space="preserve">    Offentlig refusjon vedrørende arbeidskraft</v>
      </c>
      <c r="C77" s="36"/>
      <c r="D77" s="33">
        <f t="shared" ref="D77:P77" si="57">SUM(D75:D76)</f>
        <v>-403634</v>
      </c>
      <c r="E77" s="33">
        <f t="shared" si="57"/>
        <v>-150456</v>
      </c>
      <c r="F77" s="33">
        <f t="shared" si="57"/>
        <v>0</v>
      </c>
      <c r="G77" s="33">
        <f t="shared" si="57"/>
        <v>0</v>
      </c>
      <c r="H77" s="33">
        <f t="shared" si="57"/>
        <v>0</v>
      </c>
      <c r="I77" s="33">
        <f t="shared" si="57"/>
        <v>0</v>
      </c>
      <c r="J77" s="33">
        <f t="shared" si="57"/>
        <v>0</v>
      </c>
      <c r="K77" s="33">
        <f t="shared" si="57"/>
        <v>0</v>
      </c>
      <c r="L77" s="33">
        <f t="shared" si="57"/>
        <v>0</v>
      </c>
      <c r="M77" s="33">
        <f t="shared" si="57"/>
        <v>-23052</v>
      </c>
      <c r="N77" s="33">
        <f t="shared" si="57"/>
        <v>-150704</v>
      </c>
      <c r="O77" s="33">
        <f t="shared" si="57"/>
        <v>0</v>
      </c>
      <c r="P77" s="170">
        <f t="shared" si="57"/>
        <v>-727846</v>
      </c>
    </row>
    <row r="78" spans="1:16" hidden="1" outlineLevel="2">
      <c r="A78" s="22"/>
      <c r="B78" s="28">
        <v>5500</v>
      </c>
      <c r="C78" s="29" t="s">
        <v>121</v>
      </c>
      <c r="D78" s="30">
        <f>N(31777.06)</f>
        <v>31777.06</v>
      </c>
      <c r="E78" s="30">
        <f t="shared" ref="E78:O86" si="58">N(0)</f>
        <v>0</v>
      </c>
      <c r="F78" s="30">
        <f t="shared" si="58"/>
        <v>0</v>
      </c>
      <c r="G78" s="30">
        <f t="shared" si="58"/>
        <v>0</v>
      </c>
      <c r="H78" s="30">
        <f t="shared" si="58"/>
        <v>0</v>
      </c>
      <c r="I78" s="30">
        <f t="shared" si="58"/>
        <v>0</v>
      </c>
      <c r="J78" s="30">
        <f t="shared" si="58"/>
        <v>0</v>
      </c>
      <c r="K78" s="30">
        <f t="shared" si="58"/>
        <v>0</v>
      </c>
      <c r="L78" s="30">
        <f t="shared" si="58"/>
        <v>0</v>
      </c>
      <c r="M78" s="30">
        <f t="shared" si="58"/>
        <v>0</v>
      </c>
      <c r="N78" s="30">
        <f t="shared" si="58"/>
        <v>0</v>
      </c>
      <c r="O78" s="30">
        <f t="shared" si="58"/>
        <v>0</v>
      </c>
      <c r="P78" s="169">
        <f t="shared" ref="P78:P86" si="59">SUM(D78:O78)</f>
        <v>31777.06</v>
      </c>
    </row>
    <row r="79" spans="1:16" hidden="1" outlineLevel="2">
      <c r="A79" s="22"/>
      <c r="B79" s="28">
        <v>5900</v>
      </c>
      <c r="C79" s="29" t="s">
        <v>122</v>
      </c>
      <c r="D79" s="30">
        <f t="shared" ref="D79:D81" si="60">N(0)</f>
        <v>0</v>
      </c>
      <c r="E79" s="30">
        <f>N(15689.5)</f>
        <v>15689.5</v>
      </c>
      <c r="F79" s="30">
        <f t="shared" si="58"/>
        <v>0</v>
      </c>
      <c r="G79" s="30">
        <f t="shared" si="58"/>
        <v>0</v>
      </c>
      <c r="H79" s="30">
        <f t="shared" si="58"/>
        <v>0</v>
      </c>
      <c r="I79" s="30">
        <f t="shared" si="58"/>
        <v>0</v>
      </c>
      <c r="J79" s="30">
        <f t="shared" si="58"/>
        <v>0</v>
      </c>
      <c r="K79" s="30">
        <f t="shared" si="58"/>
        <v>0</v>
      </c>
      <c r="L79" s="30">
        <f t="shared" si="58"/>
        <v>0</v>
      </c>
      <c r="M79" s="30">
        <f>N(2030)</f>
        <v>2030</v>
      </c>
      <c r="N79" s="30">
        <f>N(901.4)</f>
        <v>901.4</v>
      </c>
      <c r="O79" s="30">
        <f t="shared" si="58"/>
        <v>0</v>
      </c>
      <c r="P79" s="169">
        <f t="shared" si="59"/>
        <v>18620.900000000001</v>
      </c>
    </row>
    <row r="80" spans="1:16" hidden="1" outlineLevel="2">
      <c r="A80" s="22"/>
      <c r="B80" s="28">
        <v>5910</v>
      </c>
      <c r="C80" s="29" t="s">
        <v>109</v>
      </c>
      <c r="D80" s="30">
        <f t="shared" si="60"/>
        <v>0</v>
      </c>
      <c r="E80" s="30">
        <f>N(912)</f>
        <v>912</v>
      </c>
      <c r="F80" s="30">
        <f t="shared" si="58"/>
        <v>0</v>
      </c>
      <c r="G80" s="30">
        <f t="shared" si="58"/>
        <v>0</v>
      </c>
      <c r="H80" s="30">
        <f t="shared" si="58"/>
        <v>0</v>
      </c>
      <c r="I80" s="30">
        <f t="shared" si="58"/>
        <v>0</v>
      </c>
      <c r="J80" s="30">
        <f t="shared" si="58"/>
        <v>0</v>
      </c>
      <c r="K80" s="30">
        <f>N(1059)</f>
        <v>1059</v>
      </c>
      <c r="L80" s="30">
        <f>N(0)</f>
        <v>0</v>
      </c>
      <c r="M80" s="30">
        <f>N(1938)</f>
        <v>1938</v>
      </c>
      <c r="N80" s="30">
        <f>N(4411.28)</f>
        <v>4411.28</v>
      </c>
      <c r="O80" s="30">
        <f t="shared" si="58"/>
        <v>0</v>
      </c>
      <c r="P80" s="169">
        <f t="shared" si="59"/>
        <v>8320.2799999999988</v>
      </c>
    </row>
    <row r="81" spans="1:16" hidden="1" outlineLevel="2">
      <c r="A81" s="22"/>
      <c r="B81" s="28">
        <v>5942</v>
      </c>
      <c r="C81" s="29" t="s">
        <v>123</v>
      </c>
      <c r="D81" s="30">
        <f t="shared" si="60"/>
        <v>0</v>
      </c>
      <c r="E81" s="30">
        <f>N(0)</f>
        <v>0</v>
      </c>
      <c r="F81" s="30">
        <f t="shared" si="58"/>
        <v>0</v>
      </c>
      <c r="G81" s="30">
        <f t="shared" si="58"/>
        <v>0</v>
      </c>
      <c r="H81" s="30">
        <f t="shared" si="58"/>
        <v>0</v>
      </c>
      <c r="I81" s="30">
        <f t="shared" si="58"/>
        <v>0</v>
      </c>
      <c r="J81" s="30">
        <f t="shared" si="58"/>
        <v>0</v>
      </c>
      <c r="K81" s="30">
        <f>N(0)</f>
        <v>0</v>
      </c>
      <c r="L81" s="30">
        <f>N(18138)</f>
        <v>18138</v>
      </c>
      <c r="M81" s="30">
        <f t="shared" ref="M81:N81" si="61">N(0)</f>
        <v>0</v>
      </c>
      <c r="N81" s="30">
        <f t="shared" si="61"/>
        <v>0</v>
      </c>
      <c r="O81" s="30">
        <f t="shared" si="58"/>
        <v>0</v>
      </c>
      <c r="P81" s="169">
        <f t="shared" si="59"/>
        <v>18138</v>
      </c>
    </row>
    <row r="82" spans="1:16" hidden="1" outlineLevel="2">
      <c r="A82" s="22"/>
      <c r="B82" s="28">
        <v>5947</v>
      </c>
      <c r="C82" s="29" t="s">
        <v>124</v>
      </c>
      <c r="D82" s="30">
        <f>N(230894.97)</f>
        <v>230894.97</v>
      </c>
      <c r="E82" s="30">
        <f>N(221441.18)</f>
        <v>221441.18</v>
      </c>
      <c r="F82" s="30">
        <f t="shared" si="58"/>
        <v>0</v>
      </c>
      <c r="G82" s="30">
        <f t="shared" si="58"/>
        <v>0</v>
      </c>
      <c r="H82" s="30">
        <f>N(1738.9)</f>
        <v>1738.9</v>
      </c>
      <c r="I82" s="30">
        <f t="shared" si="58"/>
        <v>0</v>
      </c>
      <c r="J82" s="30">
        <f t="shared" si="58"/>
        <v>0</v>
      </c>
      <c r="K82" s="30">
        <f>N(79047.17)</f>
        <v>79047.17</v>
      </c>
      <c r="L82" s="30">
        <f t="shared" ref="L82:M86" si="62">N(0)</f>
        <v>0</v>
      </c>
      <c r="M82" s="30">
        <f>N(27869.78)</f>
        <v>27869.78</v>
      </c>
      <c r="N82" s="30">
        <f>N(70046.68)</f>
        <v>70046.679999999993</v>
      </c>
      <c r="O82" s="30">
        <f t="shared" si="58"/>
        <v>0</v>
      </c>
      <c r="P82" s="169">
        <f t="shared" si="59"/>
        <v>631038.68000000017</v>
      </c>
    </row>
    <row r="83" spans="1:16" hidden="1" outlineLevel="2">
      <c r="A83" s="22"/>
      <c r="B83" s="28">
        <v>5960</v>
      </c>
      <c r="C83" s="29" t="s">
        <v>125</v>
      </c>
      <c r="D83" s="30">
        <f>N(1516)</f>
        <v>1516</v>
      </c>
      <c r="E83" s="30">
        <f>N(4830)</f>
        <v>4830</v>
      </c>
      <c r="F83" s="30">
        <f t="shared" si="58"/>
        <v>0</v>
      </c>
      <c r="G83" s="30">
        <f t="shared" si="58"/>
        <v>0</v>
      </c>
      <c r="H83" s="30">
        <f>N(0)</f>
        <v>0</v>
      </c>
      <c r="I83" s="30">
        <f t="shared" si="58"/>
        <v>0</v>
      </c>
      <c r="J83" s="30">
        <f t="shared" si="58"/>
        <v>0</v>
      </c>
      <c r="K83" s="30">
        <f>N(19800)</f>
        <v>19800</v>
      </c>
      <c r="L83" s="30">
        <f t="shared" si="62"/>
        <v>0</v>
      </c>
      <c r="M83" s="30">
        <f t="shared" si="62"/>
        <v>0</v>
      </c>
      <c r="N83" s="30">
        <f>N(3240)</f>
        <v>3240</v>
      </c>
      <c r="O83" s="30">
        <f t="shared" si="58"/>
        <v>0</v>
      </c>
      <c r="P83" s="169">
        <f t="shared" si="59"/>
        <v>29386</v>
      </c>
    </row>
    <row r="84" spans="1:16" hidden="1" outlineLevel="2">
      <c r="A84" s="22"/>
      <c r="B84" s="28">
        <v>5980</v>
      </c>
      <c r="C84" s="29" t="s">
        <v>126</v>
      </c>
      <c r="D84" s="30">
        <f>N(207932)</f>
        <v>207932</v>
      </c>
      <c r="E84" s="30">
        <f>N(0)</f>
        <v>0</v>
      </c>
      <c r="F84" s="30">
        <f t="shared" si="58"/>
        <v>0</v>
      </c>
      <c r="G84" s="30">
        <f t="shared" si="58"/>
        <v>0</v>
      </c>
      <c r="H84" s="30">
        <f>N(52554.07)</f>
        <v>52554.07</v>
      </c>
      <c r="I84" s="30">
        <f t="shared" si="58"/>
        <v>0</v>
      </c>
      <c r="J84" s="30">
        <f t="shared" si="58"/>
        <v>0</v>
      </c>
      <c r="K84" s="30">
        <f>N(0)</f>
        <v>0</v>
      </c>
      <c r="L84" s="30">
        <f t="shared" si="62"/>
        <v>0</v>
      </c>
      <c r="M84" s="30">
        <f t="shared" si="62"/>
        <v>0</v>
      </c>
      <c r="N84" s="30">
        <f>N(28200)</f>
        <v>28200</v>
      </c>
      <c r="O84" s="30">
        <f t="shared" si="58"/>
        <v>0</v>
      </c>
      <c r="P84" s="169">
        <f t="shared" si="59"/>
        <v>288686.07</v>
      </c>
    </row>
    <row r="85" spans="1:16" hidden="1" outlineLevel="2">
      <c r="A85" s="22"/>
      <c r="B85" s="28">
        <v>5990</v>
      </c>
      <c r="C85" s="29" t="s">
        <v>127</v>
      </c>
      <c r="D85" s="30">
        <f>N(14135)</f>
        <v>14135</v>
      </c>
      <c r="E85" s="30">
        <f>N(63355.49)</f>
        <v>63355.49</v>
      </c>
      <c r="F85" s="30">
        <f t="shared" si="58"/>
        <v>0</v>
      </c>
      <c r="G85" s="30">
        <f t="shared" si="58"/>
        <v>0</v>
      </c>
      <c r="H85" s="30">
        <f t="shared" si="58"/>
        <v>0</v>
      </c>
      <c r="I85" s="30">
        <f t="shared" si="58"/>
        <v>0</v>
      </c>
      <c r="J85" s="30">
        <f t="shared" si="58"/>
        <v>0</v>
      </c>
      <c r="K85" s="30">
        <f>N(899)</f>
        <v>899</v>
      </c>
      <c r="L85" s="30">
        <f t="shared" si="62"/>
        <v>0</v>
      </c>
      <c r="M85" s="30">
        <f t="shared" si="62"/>
        <v>0</v>
      </c>
      <c r="N85" s="30">
        <f>N(3999.32)</f>
        <v>3999.32</v>
      </c>
      <c r="O85" s="30">
        <f t="shared" si="58"/>
        <v>0</v>
      </c>
      <c r="P85" s="169">
        <f t="shared" si="59"/>
        <v>82388.81</v>
      </c>
    </row>
    <row r="86" spans="1:16" hidden="1" outlineLevel="2">
      <c r="A86" s="22"/>
      <c r="B86" s="28">
        <v>5995</v>
      </c>
      <c r="C86" s="29" t="s">
        <v>128</v>
      </c>
      <c r="D86" s="30">
        <f t="shared" ref="D86:E86" si="63">N(0)</f>
        <v>0</v>
      </c>
      <c r="E86" s="30">
        <f t="shared" si="63"/>
        <v>0</v>
      </c>
      <c r="F86" s="30">
        <f t="shared" si="58"/>
        <v>0</v>
      </c>
      <c r="G86" s="30">
        <f t="shared" si="58"/>
        <v>0</v>
      </c>
      <c r="H86" s="30">
        <f t="shared" si="58"/>
        <v>0</v>
      </c>
      <c r="I86" s="30">
        <f t="shared" si="58"/>
        <v>0</v>
      </c>
      <c r="J86" s="30">
        <f t="shared" si="58"/>
        <v>0</v>
      </c>
      <c r="K86" s="30">
        <f>N(-564.6)</f>
        <v>-564.6</v>
      </c>
      <c r="L86" s="30">
        <f t="shared" si="62"/>
        <v>0</v>
      </c>
      <c r="M86" s="30">
        <f>N(564.8)</f>
        <v>564.79999999999995</v>
      </c>
      <c r="N86" s="30">
        <f>N(0)</f>
        <v>0</v>
      </c>
      <c r="O86" s="30">
        <f t="shared" si="58"/>
        <v>0</v>
      </c>
      <c r="P86" s="169">
        <f t="shared" si="59"/>
        <v>0.19999999999993179</v>
      </c>
    </row>
    <row r="87" spans="1:16" outlineLevel="1" collapsed="1">
      <c r="A87" s="22"/>
      <c r="B87" s="35" t="str">
        <f>"    "&amp;"Annen personalkostnad"</f>
        <v xml:space="preserve">    Annen personalkostnad</v>
      </c>
      <c r="C87" s="36"/>
      <c r="D87" s="33">
        <f t="shared" ref="D87:P87" si="64">SUM(D78:D86)</f>
        <v>486255.03</v>
      </c>
      <c r="E87" s="33">
        <f t="shared" si="64"/>
        <v>306228.17</v>
      </c>
      <c r="F87" s="33">
        <f t="shared" si="64"/>
        <v>0</v>
      </c>
      <c r="G87" s="33">
        <f t="shared" si="64"/>
        <v>0</v>
      </c>
      <c r="H87" s="33">
        <f t="shared" si="64"/>
        <v>54292.97</v>
      </c>
      <c r="I87" s="33">
        <f t="shared" si="64"/>
        <v>0</v>
      </c>
      <c r="J87" s="33">
        <f t="shared" si="64"/>
        <v>0</v>
      </c>
      <c r="K87" s="33">
        <f t="shared" si="64"/>
        <v>100240.56999999999</v>
      </c>
      <c r="L87" s="33">
        <f t="shared" si="64"/>
        <v>18138</v>
      </c>
      <c r="M87" s="33">
        <f t="shared" si="64"/>
        <v>32402.579999999998</v>
      </c>
      <c r="N87" s="33">
        <f t="shared" si="64"/>
        <v>110798.68</v>
      </c>
      <c r="O87" s="33">
        <f t="shared" si="64"/>
        <v>0</v>
      </c>
      <c r="P87" s="170">
        <f t="shared" si="64"/>
        <v>1108356.0000000002</v>
      </c>
    </row>
    <row r="88" spans="1:16" hidden="1" outlineLevel="2">
      <c r="A88" s="22"/>
      <c r="B88" s="28">
        <v>5930</v>
      </c>
      <c r="C88" s="29" t="s">
        <v>135</v>
      </c>
      <c r="D88" s="30">
        <f t="shared" ref="D88:O92" si="65">N(0)</f>
        <v>0</v>
      </c>
      <c r="E88" s="30">
        <f t="shared" si="65"/>
        <v>0</v>
      </c>
      <c r="F88" s="30">
        <f t="shared" si="65"/>
        <v>0</v>
      </c>
      <c r="G88" s="30">
        <f t="shared" si="65"/>
        <v>0</v>
      </c>
      <c r="H88" s="30">
        <f t="shared" si="65"/>
        <v>0</v>
      </c>
      <c r="I88" s="30">
        <f t="shared" si="65"/>
        <v>0</v>
      </c>
      <c r="J88" s="30">
        <f t="shared" si="65"/>
        <v>0</v>
      </c>
      <c r="K88" s="30">
        <f t="shared" si="65"/>
        <v>0</v>
      </c>
      <c r="L88" s="30">
        <f t="shared" si="65"/>
        <v>0</v>
      </c>
      <c r="M88" s="30">
        <f t="shared" si="65"/>
        <v>0</v>
      </c>
      <c r="N88" s="30">
        <f t="shared" si="65"/>
        <v>0</v>
      </c>
      <c r="O88" s="30">
        <f t="shared" si="65"/>
        <v>0</v>
      </c>
      <c r="P88" s="169">
        <f>SUM(D88:O88)</f>
        <v>0</v>
      </c>
    </row>
    <row r="89" spans="1:16" hidden="1" outlineLevel="2">
      <c r="A89" s="22"/>
      <c r="B89" s="28">
        <v>5931</v>
      </c>
      <c r="C89" s="29" t="s">
        <v>136</v>
      </c>
      <c r="D89" s="30">
        <f t="shared" si="65"/>
        <v>0</v>
      </c>
      <c r="E89" s="30">
        <f t="shared" si="65"/>
        <v>0</v>
      </c>
      <c r="F89" s="30">
        <f t="shared" si="65"/>
        <v>0</v>
      </c>
      <c r="G89" s="30">
        <f t="shared" si="65"/>
        <v>0</v>
      </c>
      <c r="H89" s="30">
        <f t="shared" si="65"/>
        <v>0</v>
      </c>
      <c r="I89" s="30">
        <f t="shared" si="65"/>
        <v>0</v>
      </c>
      <c r="J89" s="30">
        <f t="shared" si="65"/>
        <v>0</v>
      </c>
      <c r="K89" s="30">
        <f t="shared" si="65"/>
        <v>0</v>
      </c>
      <c r="L89" s="30">
        <f t="shared" si="65"/>
        <v>0</v>
      </c>
      <c r="M89" s="30">
        <f t="shared" si="65"/>
        <v>0</v>
      </c>
      <c r="N89" s="30">
        <f t="shared" si="65"/>
        <v>0</v>
      </c>
      <c r="O89" s="30">
        <f t="shared" si="65"/>
        <v>0</v>
      </c>
      <c r="P89" s="169">
        <f>SUM(D89:O89)</f>
        <v>0</v>
      </c>
    </row>
    <row r="90" spans="1:16" hidden="1" outlineLevel="2">
      <c r="A90" s="22"/>
      <c r="B90" s="28">
        <v>5944</v>
      </c>
      <c r="C90" s="29" t="s">
        <v>138</v>
      </c>
      <c r="D90" s="30">
        <f t="shared" si="65"/>
        <v>0</v>
      </c>
      <c r="E90" s="30">
        <f t="shared" si="65"/>
        <v>0</v>
      </c>
      <c r="F90" s="30">
        <f t="shared" si="65"/>
        <v>0</v>
      </c>
      <c r="G90" s="30">
        <f t="shared" si="65"/>
        <v>0</v>
      </c>
      <c r="H90" s="30">
        <f t="shared" si="65"/>
        <v>0</v>
      </c>
      <c r="I90" s="30">
        <f t="shared" si="65"/>
        <v>0</v>
      </c>
      <c r="J90" s="30">
        <f t="shared" si="65"/>
        <v>0</v>
      </c>
      <c r="K90" s="30">
        <f t="shared" si="65"/>
        <v>0</v>
      </c>
      <c r="L90" s="30">
        <f t="shared" si="65"/>
        <v>0</v>
      </c>
      <c r="M90" s="30">
        <f t="shared" si="65"/>
        <v>0</v>
      </c>
      <c r="N90" s="30">
        <f t="shared" si="65"/>
        <v>0</v>
      </c>
      <c r="O90" s="30">
        <f t="shared" si="65"/>
        <v>0</v>
      </c>
      <c r="P90" s="169">
        <f>SUM(D90:O90)</f>
        <v>0</v>
      </c>
    </row>
    <row r="91" spans="1:16" hidden="1" outlineLevel="2">
      <c r="A91" s="22"/>
      <c r="B91" s="28">
        <v>5948</v>
      </c>
      <c r="C91" s="29" t="s">
        <v>139</v>
      </c>
      <c r="D91" s="30">
        <f t="shared" si="65"/>
        <v>0</v>
      </c>
      <c r="E91" s="30">
        <f t="shared" si="65"/>
        <v>0</v>
      </c>
      <c r="F91" s="30">
        <f t="shared" si="65"/>
        <v>0</v>
      </c>
      <c r="G91" s="30">
        <f t="shared" si="65"/>
        <v>0</v>
      </c>
      <c r="H91" s="30">
        <f t="shared" si="65"/>
        <v>0</v>
      </c>
      <c r="I91" s="30">
        <f t="shared" si="65"/>
        <v>0</v>
      </c>
      <c r="J91" s="30">
        <f t="shared" si="65"/>
        <v>0</v>
      </c>
      <c r="K91" s="30">
        <f t="shared" si="65"/>
        <v>0</v>
      </c>
      <c r="L91" s="30">
        <f t="shared" si="65"/>
        <v>0</v>
      </c>
      <c r="M91" s="30">
        <f t="shared" si="65"/>
        <v>0</v>
      </c>
      <c r="N91" s="30">
        <f t="shared" si="65"/>
        <v>0</v>
      </c>
      <c r="O91" s="30">
        <f t="shared" si="65"/>
        <v>0</v>
      </c>
      <c r="P91" s="169">
        <f>SUM(D91:O91)</f>
        <v>0</v>
      </c>
    </row>
    <row r="92" spans="1:16" hidden="1" outlineLevel="2">
      <c r="A92" s="22"/>
      <c r="B92" s="28">
        <v>5994</v>
      </c>
      <c r="C92" s="29" t="s">
        <v>140</v>
      </c>
      <c r="D92" s="30">
        <f t="shared" si="65"/>
        <v>0</v>
      </c>
      <c r="E92" s="30">
        <f t="shared" si="65"/>
        <v>0</v>
      </c>
      <c r="F92" s="30">
        <f t="shared" si="65"/>
        <v>0</v>
      </c>
      <c r="G92" s="30">
        <f t="shared" si="65"/>
        <v>0</v>
      </c>
      <c r="H92" s="30">
        <f t="shared" si="65"/>
        <v>0</v>
      </c>
      <c r="I92" s="30">
        <f t="shared" si="65"/>
        <v>0</v>
      </c>
      <c r="J92" s="30">
        <f t="shared" si="65"/>
        <v>0</v>
      </c>
      <c r="K92" s="30">
        <f t="shared" si="65"/>
        <v>0</v>
      </c>
      <c r="L92" s="30">
        <f t="shared" si="65"/>
        <v>0</v>
      </c>
      <c r="M92" s="30">
        <f t="shared" si="65"/>
        <v>0</v>
      </c>
      <c r="N92" s="30">
        <f t="shared" si="65"/>
        <v>0</v>
      </c>
      <c r="O92" s="30">
        <f t="shared" si="65"/>
        <v>0</v>
      </c>
      <c r="P92" s="169">
        <f>SUM(D92:O92)</f>
        <v>0</v>
      </c>
    </row>
    <row r="93" spans="1:16" outlineLevel="1" collapsed="1">
      <c r="A93" s="22"/>
      <c r="B93" s="35" t="str">
        <f>"    "&amp;"Pensjon og forsikring Cornerstone"</f>
        <v xml:space="preserve">    Pensjon og forsikring Cornerstone</v>
      </c>
      <c r="C93" s="36"/>
      <c r="D93" s="33">
        <f t="shared" ref="D93:P93" si="66">SUM(D88:D92)</f>
        <v>0</v>
      </c>
      <c r="E93" s="33">
        <f t="shared" si="66"/>
        <v>0</v>
      </c>
      <c r="F93" s="33">
        <f t="shared" si="66"/>
        <v>0</v>
      </c>
      <c r="G93" s="33">
        <f t="shared" si="66"/>
        <v>0</v>
      </c>
      <c r="H93" s="33">
        <f t="shared" si="66"/>
        <v>0</v>
      </c>
      <c r="I93" s="33">
        <f t="shared" si="66"/>
        <v>0</v>
      </c>
      <c r="J93" s="33">
        <f t="shared" si="66"/>
        <v>0</v>
      </c>
      <c r="K93" s="33">
        <f t="shared" si="66"/>
        <v>0</v>
      </c>
      <c r="L93" s="33">
        <f t="shared" si="66"/>
        <v>0</v>
      </c>
      <c r="M93" s="33">
        <f t="shared" si="66"/>
        <v>0</v>
      </c>
      <c r="N93" s="33">
        <f t="shared" si="66"/>
        <v>0</v>
      </c>
      <c r="O93" s="33">
        <f t="shared" si="66"/>
        <v>0</v>
      </c>
      <c r="P93" s="170">
        <f t="shared" si="66"/>
        <v>0</v>
      </c>
    </row>
    <row r="94" spans="1:16">
      <c r="A94" s="22"/>
      <c r="B94" s="41" t="s">
        <v>17</v>
      </c>
      <c r="C94" s="42"/>
      <c r="D94" s="44">
        <f ca="1">SUM(OSRRefD13_1x_0)</f>
        <v>5554238.4300000006</v>
      </c>
      <c r="E94" s="44">
        <f ca="1">SUM(OSRRefD13_1x_1)</f>
        <v>5331151.0999999996</v>
      </c>
      <c r="F94" s="44">
        <f ca="1">SUM(OSRRefD13_1x_2)</f>
        <v>0</v>
      </c>
      <c r="G94" s="44">
        <f ca="1">SUM(OSRRefD13_1x_3)</f>
        <v>0</v>
      </c>
      <c r="H94" s="44">
        <f ca="1">SUM(OSRRefD13_1x_4)</f>
        <v>188299.18000000002</v>
      </c>
      <c r="I94" s="44">
        <f ca="1">SUM(OSRRefD13_1x_5)</f>
        <v>0</v>
      </c>
      <c r="J94" s="44">
        <f ca="1">SUM(OSRRefD13_1x_12)</f>
        <v>0</v>
      </c>
      <c r="K94" s="44">
        <f ca="1">SUM(OSRRefD13_1x_13)</f>
        <v>2351448.98</v>
      </c>
      <c r="L94" s="44">
        <f ca="1">SUM(OSRRefD13_1x_14)</f>
        <v>184002.86</v>
      </c>
      <c r="M94" s="44">
        <f ca="1">SUM(OSRRefD13_1x_15)</f>
        <v>937550.44000000006</v>
      </c>
      <c r="N94" s="44">
        <f ca="1">SUM(OSRRefD13_1x_16)</f>
        <v>1704370.9600000002</v>
      </c>
      <c r="O94" s="44">
        <f ca="1">SUM(OSRRefD13_1x_17)</f>
        <v>0</v>
      </c>
      <c r="P94" s="171">
        <f ca="1">SUM(OSRRefE13_1x)</f>
        <v>16251061.949999997</v>
      </c>
    </row>
    <row r="95" spans="1:16" hidden="1" outlineLevel="2">
      <c r="A95" s="22"/>
      <c r="B95" s="28">
        <v>6017</v>
      </c>
      <c r="C95" s="29" t="s">
        <v>141</v>
      </c>
      <c r="D95" s="30">
        <f>N(0)</f>
        <v>0</v>
      </c>
      <c r="E95" s="30">
        <f>N(107131.08)</f>
        <v>107131.08</v>
      </c>
      <c r="F95" s="30">
        <f t="shared" ref="F95:O95" si="67">N(0)</f>
        <v>0</v>
      </c>
      <c r="G95" s="30">
        <f t="shared" si="67"/>
        <v>0</v>
      </c>
      <c r="H95" s="30">
        <f t="shared" si="67"/>
        <v>0</v>
      </c>
      <c r="I95" s="30">
        <f t="shared" si="67"/>
        <v>0</v>
      </c>
      <c r="J95" s="30">
        <f t="shared" si="67"/>
        <v>0</v>
      </c>
      <c r="K95" s="30">
        <f t="shared" si="67"/>
        <v>0</v>
      </c>
      <c r="L95" s="30">
        <f t="shared" si="67"/>
        <v>0</v>
      </c>
      <c r="M95" s="30">
        <f t="shared" si="67"/>
        <v>0</v>
      </c>
      <c r="N95" s="30">
        <f t="shared" si="67"/>
        <v>0</v>
      </c>
      <c r="O95" s="30">
        <f t="shared" si="67"/>
        <v>0</v>
      </c>
      <c r="P95" s="169">
        <f>SUM(D95:O95)</f>
        <v>107131.08</v>
      </c>
    </row>
    <row r="96" spans="1:16" outlineLevel="1" collapsed="1">
      <c r="A96" s="22"/>
      <c r="B96" s="35" t="str">
        <f>"    "&amp;"Av- og nedskrivning"</f>
        <v xml:space="preserve">    Av- og nedskrivning</v>
      </c>
      <c r="C96" s="36"/>
      <c r="D96" s="33">
        <f t="shared" ref="D96:P96" si="68">SUM(D95)</f>
        <v>0</v>
      </c>
      <c r="E96" s="33">
        <f t="shared" si="68"/>
        <v>107131.08</v>
      </c>
      <c r="F96" s="33">
        <f t="shared" si="68"/>
        <v>0</v>
      </c>
      <c r="G96" s="33">
        <f t="shared" si="68"/>
        <v>0</v>
      </c>
      <c r="H96" s="33">
        <f t="shared" si="68"/>
        <v>0</v>
      </c>
      <c r="I96" s="33">
        <f t="shared" si="68"/>
        <v>0</v>
      </c>
      <c r="J96" s="33">
        <f t="shared" si="68"/>
        <v>0</v>
      </c>
      <c r="K96" s="33">
        <f t="shared" si="68"/>
        <v>0</v>
      </c>
      <c r="L96" s="33">
        <f t="shared" si="68"/>
        <v>0</v>
      </c>
      <c r="M96" s="33">
        <f t="shared" si="68"/>
        <v>0</v>
      </c>
      <c r="N96" s="33">
        <f t="shared" si="68"/>
        <v>0</v>
      </c>
      <c r="O96" s="33">
        <f t="shared" si="68"/>
        <v>0</v>
      </c>
      <c r="P96" s="170">
        <f t="shared" si="68"/>
        <v>107131.08</v>
      </c>
    </row>
    <row r="97" spans="1:16" hidden="1" outlineLevel="2">
      <c r="A97" s="22"/>
      <c r="B97" s="28">
        <v>6300</v>
      </c>
      <c r="C97" s="29" t="s">
        <v>142</v>
      </c>
      <c r="D97" s="30">
        <f>N(41541.38)</f>
        <v>41541.379999999997</v>
      </c>
      <c r="E97" s="30">
        <f>N(516000)</f>
        <v>516000</v>
      </c>
      <c r="F97" s="30">
        <f t="shared" ref="F97:K100" si="69">N(0)</f>
        <v>0</v>
      </c>
      <c r="G97" s="30">
        <f t="shared" si="69"/>
        <v>0</v>
      </c>
      <c r="H97" s="30">
        <f t="shared" si="69"/>
        <v>0</v>
      </c>
      <c r="I97" s="30">
        <f t="shared" si="69"/>
        <v>0</v>
      </c>
      <c r="J97" s="30">
        <f t="shared" si="69"/>
        <v>0</v>
      </c>
      <c r="K97" s="30">
        <f>N(67120)</f>
        <v>67120</v>
      </c>
      <c r="L97" s="30">
        <f t="shared" ref="L97:L100" si="70">N(0)</f>
        <v>0</v>
      </c>
      <c r="M97" s="30">
        <f>N(0)</f>
        <v>0</v>
      </c>
      <c r="N97" s="30">
        <f>N(5000)</f>
        <v>5000</v>
      </c>
      <c r="O97" s="30">
        <f t="shared" ref="O97:O100" si="71">N(0)</f>
        <v>0</v>
      </c>
      <c r="P97" s="169">
        <f>SUM(D97:O97)</f>
        <v>629661.38</v>
      </c>
    </row>
    <row r="98" spans="1:16" hidden="1" outlineLevel="2">
      <c r="A98" s="22"/>
      <c r="B98" s="28">
        <v>6360</v>
      </c>
      <c r="C98" s="29" t="s">
        <v>144</v>
      </c>
      <c r="D98" s="30">
        <f t="shared" ref="D98:D100" si="72">N(0)</f>
        <v>0</v>
      </c>
      <c r="E98" s="30">
        <f>N(53173.13)</f>
        <v>53173.13</v>
      </c>
      <c r="F98" s="30">
        <f t="shared" si="69"/>
        <v>0</v>
      </c>
      <c r="G98" s="30">
        <f t="shared" si="69"/>
        <v>0</v>
      </c>
      <c r="H98" s="30">
        <f t="shared" si="69"/>
        <v>0</v>
      </c>
      <c r="I98" s="30">
        <f t="shared" si="69"/>
        <v>0</v>
      </c>
      <c r="J98" s="30">
        <f t="shared" si="69"/>
        <v>0</v>
      </c>
      <c r="K98" s="30">
        <f t="shared" si="69"/>
        <v>0</v>
      </c>
      <c r="L98" s="30">
        <f t="shared" si="70"/>
        <v>0</v>
      </c>
      <c r="M98" s="30">
        <f>N(2000)</f>
        <v>2000</v>
      </c>
      <c r="N98" s="30">
        <f t="shared" ref="N98:N100" si="73">N(0)</f>
        <v>0</v>
      </c>
      <c r="O98" s="30">
        <f t="shared" si="71"/>
        <v>0</v>
      </c>
      <c r="P98" s="169">
        <f>SUM(D98:O98)</f>
        <v>55173.13</v>
      </c>
    </row>
    <row r="99" spans="1:16" hidden="1" outlineLevel="2">
      <c r="A99" s="22"/>
      <c r="B99" s="28">
        <v>6390</v>
      </c>
      <c r="C99" s="29" t="s">
        <v>145</v>
      </c>
      <c r="D99" s="30">
        <f t="shared" si="72"/>
        <v>0</v>
      </c>
      <c r="E99" s="30">
        <f>N(8573.2)</f>
        <v>8573.2000000000007</v>
      </c>
      <c r="F99" s="30">
        <f t="shared" si="69"/>
        <v>0</v>
      </c>
      <c r="G99" s="30">
        <f t="shared" si="69"/>
        <v>0</v>
      </c>
      <c r="H99" s="30">
        <f t="shared" si="69"/>
        <v>0</v>
      </c>
      <c r="I99" s="30">
        <f t="shared" si="69"/>
        <v>0</v>
      </c>
      <c r="J99" s="30">
        <f t="shared" si="69"/>
        <v>0</v>
      </c>
      <c r="K99" s="30">
        <f t="shared" si="69"/>
        <v>0</v>
      </c>
      <c r="L99" s="30">
        <f t="shared" si="70"/>
        <v>0</v>
      </c>
      <c r="M99" s="30">
        <f>N(0)</f>
        <v>0</v>
      </c>
      <c r="N99" s="30">
        <f t="shared" si="73"/>
        <v>0</v>
      </c>
      <c r="O99" s="30">
        <f t="shared" si="71"/>
        <v>0</v>
      </c>
      <c r="P99" s="169">
        <f>SUM(D99:O99)</f>
        <v>8573.2000000000007</v>
      </c>
    </row>
    <row r="100" spans="1:16" hidden="1" outlineLevel="2">
      <c r="A100" s="22"/>
      <c r="B100" s="28">
        <v>6490</v>
      </c>
      <c r="C100" s="29" t="s">
        <v>146</v>
      </c>
      <c r="D100" s="30">
        <f t="shared" si="72"/>
        <v>0</v>
      </c>
      <c r="E100" s="30">
        <f>N(0)</f>
        <v>0</v>
      </c>
      <c r="F100" s="30">
        <f t="shared" si="69"/>
        <v>0</v>
      </c>
      <c r="G100" s="30">
        <f t="shared" si="69"/>
        <v>0</v>
      </c>
      <c r="H100" s="30">
        <f t="shared" si="69"/>
        <v>0</v>
      </c>
      <c r="I100" s="30">
        <f t="shared" si="69"/>
        <v>0</v>
      </c>
      <c r="J100" s="30">
        <f t="shared" si="69"/>
        <v>0</v>
      </c>
      <c r="K100" s="30">
        <f t="shared" si="69"/>
        <v>0</v>
      </c>
      <c r="L100" s="30">
        <f t="shared" si="70"/>
        <v>0</v>
      </c>
      <c r="M100" s="30">
        <f>N(26500)</f>
        <v>26500</v>
      </c>
      <c r="N100" s="30">
        <f t="shared" si="73"/>
        <v>0</v>
      </c>
      <c r="O100" s="30">
        <f t="shared" si="71"/>
        <v>0</v>
      </c>
      <c r="P100" s="169">
        <f>SUM(D100:O100)</f>
        <v>26500</v>
      </c>
    </row>
    <row r="101" spans="1:16" outlineLevel="1" collapsed="1">
      <c r="A101" s="22"/>
      <c r="B101" s="35" t="str">
        <f>"    "&amp;"Kostnad lokaler"</f>
        <v xml:space="preserve">    Kostnad lokaler</v>
      </c>
      <c r="C101" s="36"/>
      <c r="D101" s="33">
        <f t="shared" ref="D101:P101" si="74">SUM(D97:D100)</f>
        <v>41541.379999999997</v>
      </c>
      <c r="E101" s="33">
        <f t="shared" si="74"/>
        <v>577746.32999999996</v>
      </c>
      <c r="F101" s="33">
        <f t="shared" si="74"/>
        <v>0</v>
      </c>
      <c r="G101" s="33">
        <f t="shared" si="74"/>
        <v>0</v>
      </c>
      <c r="H101" s="33">
        <f t="shared" si="74"/>
        <v>0</v>
      </c>
      <c r="I101" s="33">
        <f t="shared" si="74"/>
        <v>0</v>
      </c>
      <c r="J101" s="33">
        <f t="shared" si="74"/>
        <v>0</v>
      </c>
      <c r="K101" s="33">
        <f t="shared" si="74"/>
        <v>67120</v>
      </c>
      <c r="L101" s="33">
        <f t="shared" si="74"/>
        <v>0</v>
      </c>
      <c r="M101" s="33">
        <f t="shared" si="74"/>
        <v>28500</v>
      </c>
      <c r="N101" s="33">
        <f t="shared" si="74"/>
        <v>5000</v>
      </c>
      <c r="O101" s="33">
        <f t="shared" si="74"/>
        <v>0</v>
      </c>
      <c r="P101" s="170">
        <f t="shared" si="74"/>
        <v>719907.71</v>
      </c>
    </row>
    <row r="102" spans="1:16" hidden="1" outlineLevel="2">
      <c r="A102" s="22"/>
      <c r="B102" s="28">
        <v>6405</v>
      </c>
      <c r="C102" s="29" t="s">
        <v>147</v>
      </c>
      <c r="D102" s="30">
        <f t="shared" ref="D102:I105" si="75">N(0)</f>
        <v>0</v>
      </c>
      <c r="E102" s="30">
        <f t="shared" si="75"/>
        <v>0</v>
      </c>
      <c r="F102" s="30">
        <f t="shared" si="75"/>
        <v>0</v>
      </c>
      <c r="G102" s="30">
        <f t="shared" si="75"/>
        <v>0</v>
      </c>
      <c r="H102" s="30">
        <f>N(58375)</f>
        <v>58375</v>
      </c>
      <c r="I102" s="30">
        <f t="shared" ref="I102:N105" si="76">N(0)</f>
        <v>0</v>
      </c>
      <c r="J102" s="30">
        <f t="shared" si="76"/>
        <v>0</v>
      </c>
      <c r="K102" s="30">
        <f t="shared" si="76"/>
        <v>0</v>
      </c>
      <c r="L102" s="30">
        <f t="shared" si="76"/>
        <v>0</v>
      </c>
      <c r="M102" s="30">
        <f>N(1721)</f>
        <v>1721</v>
      </c>
      <c r="N102" s="30">
        <f t="shared" ref="N102:O105" si="77">N(0)</f>
        <v>0</v>
      </c>
      <c r="O102" s="30">
        <f t="shared" si="77"/>
        <v>0</v>
      </c>
      <c r="P102" s="169">
        <f>SUM(D102:O102)</f>
        <v>60096</v>
      </c>
    </row>
    <row r="103" spans="1:16" hidden="1" outlineLevel="2">
      <c r="A103" s="22"/>
      <c r="B103" s="28">
        <v>6420</v>
      </c>
      <c r="C103" s="29" t="s">
        <v>149</v>
      </c>
      <c r="D103" s="30">
        <f>N(18670.15)</f>
        <v>18670.150000000001</v>
      </c>
      <c r="E103" s="30">
        <f>N(206768.61)</f>
        <v>206768.61</v>
      </c>
      <c r="F103" s="30">
        <f t="shared" si="75"/>
        <v>0</v>
      </c>
      <c r="G103" s="30">
        <f t="shared" si="75"/>
        <v>0</v>
      </c>
      <c r="H103" s="30">
        <f>N(1033.59)</f>
        <v>1033.5899999999999</v>
      </c>
      <c r="I103" s="30">
        <f>N(854509.99)</f>
        <v>854509.99</v>
      </c>
      <c r="J103" s="30">
        <f t="shared" si="76"/>
        <v>0</v>
      </c>
      <c r="K103" s="30">
        <f>N(3146.6)</f>
        <v>3146.6</v>
      </c>
      <c r="L103" s="30">
        <f t="shared" si="76"/>
        <v>0</v>
      </c>
      <c r="M103" s="30">
        <f>N(7238.05)</f>
        <v>7238.05</v>
      </c>
      <c r="N103" s="30">
        <f>N(20518.61)</f>
        <v>20518.61</v>
      </c>
      <c r="O103" s="30">
        <f t="shared" si="77"/>
        <v>0</v>
      </c>
      <c r="P103" s="169">
        <f>SUM(D103:O103)</f>
        <v>1111885.6000000001</v>
      </c>
    </row>
    <row r="104" spans="1:16" hidden="1" outlineLevel="2">
      <c r="A104" s="22"/>
      <c r="B104" s="28">
        <v>6421</v>
      </c>
      <c r="C104" s="29" t="s">
        <v>150</v>
      </c>
      <c r="D104" s="30">
        <f t="shared" ref="D104:D105" si="78">N(0)</f>
        <v>0</v>
      </c>
      <c r="E104" s="30">
        <f>N(3577.2)</f>
        <v>3577.2</v>
      </c>
      <c r="F104" s="30">
        <f t="shared" si="75"/>
        <v>0</v>
      </c>
      <c r="G104" s="30">
        <f t="shared" si="75"/>
        <v>0</v>
      </c>
      <c r="H104" s="30">
        <f t="shared" si="75"/>
        <v>0</v>
      </c>
      <c r="I104" s="30">
        <f t="shared" si="75"/>
        <v>0</v>
      </c>
      <c r="J104" s="30">
        <f t="shared" si="76"/>
        <v>0</v>
      </c>
      <c r="K104" s="30">
        <f t="shared" si="76"/>
        <v>0</v>
      </c>
      <c r="L104" s="30">
        <f t="shared" si="76"/>
        <v>0</v>
      </c>
      <c r="M104" s="30">
        <f t="shared" si="76"/>
        <v>0</v>
      </c>
      <c r="N104" s="30">
        <f t="shared" si="76"/>
        <v>0</v>
      </c>
      <c r="O104" s="30">
        <f t="shared" si="77"/>
        <v>0</v>
      </c>
      <c r="P104" s="169">
        <f>SUM(D104:O104)</f>
        <v>3577.2</v>
      </c>
    </row>
    <row r="105" spans="1:16" hidden="1" outlineLevel="2">
      <c r="A105" s="22"/>
      <c r="B105" s="28">
        <v>6430</v>
      </c>
      <c r="C105" s="29" t="s">
        <v>151</v>
      </c>
      <c r="D105" s="30">
        <f t="shared" si="78"/>
        <v>0</v>
      </c>
      <c r="E105" s="30">
        <f>N(55085.1)</f>
        <v>55085.1</v>
      </c>
      <c r="F105" s="30">
        <f t="shared" si="75"/>
        <v>0</v>
      </c>
      <c r="G105" s="30">
        <f t="shared" si="75"/>
        <v>0</v>
      </c>
      <c r="H105" s="30">
        <f t="shared" si="75"/>
        <v>0</v>
      </c>
      <c r="I105" s="30">
        <f t="shared" si="75"/>
        <v>0</v>
      </c>
      <c r="J105" s="30">
        <f t="shared" si="76"/>
        <v>0</v>
      </c>
      <c r="K105" s="30">
        <f t="shared" si="76"/>
        <v>0</v>
      </c>
      <c r="L105" s="30">
        <f t="shared" si="76"/>
        <v>0</v>
      </c>
      <c r="M105" s="30">
        <f t="shared" si="76"/>
        <v>0</v>
      </c>
      <c r="N105" s="30">
        <f t="shared" si="76"/>
        <v>0</v>
      </c>
      <c r="O105" s="30">
        <f t="shared" si="77"/>
        <v>0</v>
      </c>
      <c r="P105" s="169">
        <f>SUM(D105:O105)</f>
        <v>55085.1</v>
      </c>
    </row>
    <row r="106" spans="1:16" outlineLevel="1" collapsed="1">
      <c r="A106" s="22"/>
      <c r="B106" s="35" t="str">
        <f>"    "&amp;"Leie maskiner, inventar o.l."</f>
        <v xml:space="preserve">    Leie maskiner, inventar o.l.</v>
      </c>
      <c r="C106" s="36"/>
      <c r="D106" s="33">
        <f t="shared" ref="D106:P106" si="79">SUM(D102:D105)</f>
        <v>18670.150000000001</v>
      </c>
      <c r="E106" s="33">
        <f t="shared" si="79"/>
        <v>265430.90999999997</v>
      </c>
      <c r="F106" s="33">
        <f t="shared" si="79"/>
        <v>0</v>
      </c>
      <c r="G106" s="33">
        <f t="shared" si="79"/>
        <v>0</v>
      </c>
      <c r="H106" s="33">
        <f t="shared" si="79"/>
        <v>59408.59</v>
      </c>
      <c r="I106" s="33">
        <f t="shared" si="79"/>
        <v>854509.99</v>
      </c>
      <c r="J106" s="33">
        <f t="shared" si="79"/>
        <v>0</v>
      </c>
      <c r="K106" s="33">
        <f t="shared" si="79"/>
        <v>3146.6</v>
      </c>
      <c r="L106" s="33">
        <f t="shared" si="79"/>
        <v>0</v>
      </c>
      <c r="M106" s="33">
        <f t="shared" si="79"/>
        <v>8959.0499999999993</v>
      </c>
      <c r="N106" s="33">
        <f t="shared" si="79"/>
        <v>20518.61</v>
      </c>
      <c r="O106" s="33">
        <f t="shared" si="79"/>
        <v>0</v>
      </c>
      <c r="P106" s="170">
        <f t="shared" si="79"/>
        <v>1230643.9000000001</v>
      </c>
    </row>
    <row r="107" spans="1:16" hidden="1" outlineLevel="2">
      <c r="A107" s="22"/>
      <c r="B107" s="28">
        <v>6540</v>
      </c>
      <c r="C107" s="29" t="s">
        <v>152</v>
      </c>
      <c r="D107" s="30">
        <f t="shared" ref="D107:H110" si="80">N(0)</f>
        <v>0</v>
      </c>
      <c r="E107" s="30">
        <f t="shared" si="80"/>
        <v>0</v>
      </c>
      <c r="F107" s="30">
        <f t="shared" si="80"/>
        <v>0</v>
      </c>
      <c r="G107" s="30">
        <f t="shared" si="80"/>
        <v>0</v>
      </c>
      <c r="H107" s="30">
        <f>N(4499.4)</f>
        <v>4499.3999999999996</v>
      </c>
      <c r="I107" s="30">
        <f t="shared" ref="I107:L110" si="81">N(0)</f>
        <v>0</v>
      </c>
      <c r="J107" s="30">
        <f t="shared" si="81"/>
        <v>0</v>
      </c>
      <c r="K107" s="30">
        <f t="shared" si="81"/>
        <v>0</v>
      </c>
      <c r="L107" s="30">
        <f t="shared" si="81"/>
        <v>0</v>
      </c>
      <c r="M107" s="30">
        <f>N(10990)</f>
        <v>10990</v>
      </c>
      <c r="N107" s="30">
        <f>N(4349)</f>
        <v>4349</v>
      </c>
      <c r="O107" s="30">
        <f t="shared" ref="O107:O110" si="82">N(0)</f>
        <v>0</v>
      </c>
      <c r="P107" s="169">
        <f>SUM(D107:O107)</f>
        <v>19838.400000000001</v>
      </c>
    </row>
    <row r="108" spans="1:16" hidden="1" outlineLevel="2">
      <c r="A108" s="22"/>
      <c r="B108" s="28">
        <v>6550</v>
      </c>
      <c r="C108" s="29" t="s">
        <v>153</v>
      </c>
      <c r="D108" s="30">
        <f>N(6400.03)</f>
        <v>6400.03</v>
      </c>
      <c r="E108" s="30">
        <f>N(26687.11)</f>
        <v>26687.11</v>
      </c>
      <c r="F108" s="30">
        <f t="shared" si="80"/>
        <v>0</v>
      </c>
      <c r="G108" s="30">
        <f t="shared" si="80"/>
        <v>0</v>
      </c>
      <c r="H108" s="30">
        <f t="shared" si="80"/>
        <v>0</v>
      </c>
      <c r="I108" s="30">
        <f t="shared" si="81"/>
        <v>0</v>
      </c>
      <c r="J108" s="30">
        <f t="shared" si="81"/>
        <v>0</v>
      </c>
      <c r="K108" s="30">
        <f t="shared" si="81"/>
        <v>0</v>
      </c>
      <c r="L108" s="30">
        <f t="shared" si="81"/>
        <v>0</v>
      </c>
      <c r="M108" s="30">
        <f>N(0)</f>
        <v>0</v>
      </c>
      <c r="N108" s="30">
        <f>N(18101.74)</f>
        <v>18101.740000000002</v>
      </c>
      <c r="O108" s="30">
        <f t="shared" si="82"/>
        <v>0</v>
      </c>
      <c r="P108" s="169">
        <f>SUM(D108:O108)</f>
        <v>51188.880000000005</v>
      </c>
    </row>
    <row r="109" spans="1:16" hidden="1" outlineLevel="2">
      <c r="A109" s="22"/>
      <c r="B109" s="28">
        <v>6551</v>
      </c>
      <c r="C109" s="29" t="s">
        <v>154</v>
      </c>
      <c r="D109" s="30">
        <f>N(33924)</f>
        <v>33924</v>
      </c>
      <c r="E109" s="30">
        <f>N(13226.25)</f>
        <v>13226.25</v>
      </c>
      <c r="F109" s="30">
        <f t="shared" si="80"/>
        <v>0</v>
      </c>
      <c r="G109" s="30">
        <f t="shared" si="80"/>
        <v>0</v>
      </c>
      <c r="H109" s="30">
        <f t="shared" si="80"/>
        <v>0</v>
      </c>
      <c r="I109" s="30">
        <f t="shared" si="81"/>
        <v>0</v>
      </c>
      <c r="J109" s="30">
        <f t="shared" si="81"/>
        <v>0</v>
      </c>
      <c r="K109" s="30">
        <f>N(16327)</f>
        <v>16327</v>
      </c>
      <c r="L109" s="30">
        <f t="shared" si="81"/>
        <v>0</v>
      </c>
      <c r="M109" s="30">
        <f>N(5368)</f>
        <v>5368</v>
      </c>
      <c r="N109" s="30">
        <f>N(27681.75)</f>
        <v>27681.75</v>
      </c>
      <c r="O109" s="30">
        <f t="shared" si="82"/>
        <v>0</v>
      </c>
      <c r="P109" s="169">
        <f>SUM(D109:O109)</f>
        <v>96527</v>
      </c>
    </row>
    <row r="110" spans="1:16" hidden="1" outlineLevel="2">
      <c r="A110" s="22"/>
      <c r="B110" s="28">
        <v>6590</v>
      </c>
      <c r="C110" s="29" t="s">
        <v>155</v>
      </c>
      <c r="D110" s="30">
        <f>N(0)</f>
        <v>0</v>
      </c>
      <c r="E110" s="30">
        <f>N(12383.75)</f>
        <v>12383.75</v>
      </c>
      <c r="F110" s="30">
        <f t="shared" si="80"/>
        <v>0</v>
      </c>
      <c r="G110" s="30">
        <f t="shared" si="80"/>
        <v>0</v>
      </c>
      <c r="H110" s="30">
        <f t="shared" si="80"/>
        <v>0</v>
      </c>
      <c r="I110" s="30">
        <f t="shared" si="81"/>
        <v>0</v>
      </c>
      <c r="J110" s="30">
        <f t="shared" si="81"/>
        <v>0</v>
      </c>
      <c r="K110" s="30">
        <f>N(0)</f>
        <v>0</v>
      </c>
      <c r="L110" s="30">
        <f t="shared" si="81"/>
        <v>0</v>
      </c>
      <c r="M110" s="30">
        <f>N(0)</f>
        <v>0</v>
      </c>
      <c r="N110" s="30">
        <f>N(361.25)</f>
        <v>361.25</v>
      </c>
      <c r="O110" s="30">
        <f t="shared" si="82"/>
        <v>0</v>
      </c>
      <c r="P110" s="169">
        <f>SUM(D110:O110)</f>
        <v>12745</v>
      </c>
    </row>
    <row r="111" spans="1:16" outlineLevel="1" collapsed="1">
      <c r="A111" s="22"/>
      <c r="B111" s="35" t="str">
        <f>"    "&amp;"Verktøy, inventar og driftsmateriell"</f>
        <v xml:space="preserve">    Verktøy, inventar og driftsmateriell</v>
      </c>
      <c r="C111" s="36"/>
      <c r="D111" s="33">
        <f t="shared" ref="D111:P111" si="83">SUM(D107:D110)</f>
        <v>40324.03</v>
      </c>
      <c r="E111" s="33">
        <f t="shared" si="83"/>
        <v>52297.11</v>
      </c>
      <c r="F111" s="33">
        <f t="shared" si="83"/>
        <v>0</v>
      </c>
      <c r="G111" s="33">
        <f t="shared" si="83"/>
        <v>0</v>
      </c>
      <c r="H111" s="33">
        <f t="shared" si="83"/>
        <v>4499.3999999999996</v>
      </c>
      <c r="I111" s="33">
        <f t="shared" si="83"/>
        <v>0</v>
      </c>
      <c r="J111" s="33">
        <f t="shared" si="83"/>
        <v>0</v>
      </c>
      <c r="K111" s="33">
        <f t="shared" si="83"/>
        <v>16327</v>
      </c>
      <c r="L111" s="33">
        <f t="shared" si="83"/>
        <v>0</v>
      </c>
      <c r="M111" s="33">
        <f t="shared" si="83"/>
        <v>16358</v>
      </c>
      <c r="N111" s="33">
        <f t="shared" si="83"/>
        <v>50493.740000000005</v>
      </c>
      <c r="O111" s="33">
        <f t="shared" si="83"/>
        <v>0</v>
      </c>
      <c r="P111" s="170">
        <f t="shared" si="83"/>
        <v>180299.28</v>
      </c>
    </row>
    <row r="112" spans="1:16" hidden="1" outlineLevel="2">
      <c r="A112" s="22"/>
      <c r="B112" s="28">
        <v>6701</v>
      </c>
      <c r="C112" s="29" t="s">
        <v>156</v>
      </c>
      <c r="D112" s="30">
        <f>N(32878.75)</f>
        <v>32878.75</v>
      </c>
      <c r="E112" s="30">
        <f>N(200188.13)</f>
        <v>200188.13</v>
      </c>
      <c r="F112" s="30">
        <f t="shared" ref="F112:O115" si="84">N(0)</f>
        <v>0</v>
      </c>
      <c r="G112" s="30">
        <f t="shared" si="84"/>
        <v>0</v>
      </c>
      <c r="H112" s="30">
        <f t="shared" si="84"/>
        <v>0</v>
      </c>
      <c r="I112" s="30">
        <f t="shared" si="84"/>
        <v>0</v>
      </c>
      <c r="J112" s="30">
        <f t="shared" si="84"/>
        <v>0</v>
      </c>
      <c r="K112" s="30">
        <f t="shared" si="84"/>
        <v>0</v>
      </c>
      <c r="L112" s="30">
        <f t="shared" si="84"/>
        <v>0</v>
      </c>
      <c r="M112" s="30">
        <f t="shared" si="84"/>
        <v>0</v>
      </c>
      <c r="N112" s="30">
        <f t="shared" si="84"/>
        <v>0</v>
      </c>
      <c r="O112" s="30">
        <f t="shared" si="84"/>
        <v>0</v>
      </c>
      <c r="P112" s="169">
        <f>SUM(D112:O112)</f>
        <v>233066.88</v>
      </c>
    </row>
    <row r="113" spans="1:16" hidden="1" outlineLevel="2">
      <c r="A113" s="22"/>
      <c r="B113" s="28">
        <v>6705</v>
      </c>
      <c r="C113" s="29" t="s">
        <v>157</v>
      </c>
      <c r="D113" s="30">
        <f>N(0)</f>
        <v>0</v>
      </c>
      <c r="E113" s="30">
        <f>N(876514.07)</f>
        <v>876514.07</v>
      </c>
      <c r="F113" s="30">
        <f t="shared" si="84"/>
        <v>0</v>
      </c>
      <c r="G113" s="30">
        <f t="shared" si="84"/>
        <v>0</v>
      </c>
      <c r="H113" s="30">
        <f t="shared" si="84"/>
        <v>0</v>
      </c>
      <c r="I113" s="30">
        <f t="shared" si="84"/>
        <v>0</v>
      </c>
      <c r="J113" s="30">
        <f t="shared" si="84"/>
        <v>0</v>
      </c>
      <c r="K113" s="30">
        <f t="shared" si="84"/>
        <v>0</v>
      </c>
      <c r="L113" s="30">
        <f t="shared" si="84"/>
        <v>0</v>
      </c>
      <c r="M113" s="30">
        <f t="shared" si="84"/>
        <v>0</v>
      </c>
      <c r="N113" s="30">
        <f t="shared" si="84"/>
        <v>0</v>
      </c>
      <c r="O113" s="30">
        <f t="shared" si="84"/>
        <v>0</v>
      </c>
      <c r="P113" s="169">
        <f>SUM(D113:O113)</f>
        <v>876514.07</v>
      </c>
    </row>
    <row r="114" spans="1:16" hidden="1" outlineLevel="2">
      <c r="A114" s="22"/>
      <c r="B114" s="28">
        <v>6790</v>
      </c>
      <c r="C114" s="29" t="s">
        <v>158</v>
      </c>
      <c r="D114" s="30">
        <f>N(16200)</f>
        <v>16200</v>
      </c>
      <c r="E114" s="30">
        <f>N(61496.64)</f>
        <v>61496.639999999999</v>
      </c>
      <c r="F114" s="30">
        <f t="shared" si="84"/>
        <v>0</v>
      </c>
      <c r="G114" s="30">
        <f t="shared" si="84"/>
        <v>0</v>
      </c>
      <c r="H114" s="30">
        <f>N(106310.88)</f>
        <v>106310.88</v>
      </c>
      <c r="I114" s="30">
        <f t="shared" si="84"/>
        <v>0</v>
      </c>
      <c r="J114" s="30">
        <f t="shared" si="84"/>
        <v>0</v>
      </c>
      <c r="K114" s="30">
        <f>N(66772)</f>
        <v>66772</v>
      </c>
      <c r="L114" s="30">
        <f t="shared" si="84"/>
        <v>0</v>
      </c>
      <c r="M114" s="30">
        <f>N(30775)</f>
        <v>30775</v>
      </c>
      <c r="N114" s="30">
        <f>N(206663.75)</f>
        <v>206663.75</v>
      </c>
      <c r="O114" s="30">
        <f t="shared" si="84"/>
        <v>0</v>
      </c>
      <c r="P114" s="169">
        <f>SUM(D114:O114)</f>
        <v>488218.27</v>
      </c>
    </row>
    <row r="115" spans="1:16" hidden="1" outlineLevel="2">
      <c r="A115" s="22"/>
      <c r="B115" s="28">
        <v>6792</v>
      </c>
      <c r="C115" s="29" t="s">
        <v>159</v>
      </c>
      <c r="D115" s="30">
        <f t="shared" ref="D115:E115" si="85">N(0)</f>
        <v>0</v>
      </c>
      <c r="E115" s="30">
        <f t="shared" si="85"/>
        <v>0</v>
      </c>
      <c r="F115" s="30">
        <f t="shared" si="84"/>
        <v>0</v>
      </c>
      <c r="G115" s="30">
        <f t="shared" si="84"/>
        <v>0</v>
      </c>
      <c r="H115" s="30">
        <f>N(0)</f>
        <v>0</v>
      </c>
      <c r="I115" s="30">
        <f t="shared" si="84"/>
        <v>0</v>
      </c>
      <c r="J115" s="30">
        <f t="shared" si="84"/>
        <v>0</v>
      </c>
      <c r="K115" s="30">
        <f>N(0)</f>
        <v>0</v>
      </c>
      <c r="L115" s="30">
        <f t="shared" si="84"/>
        <v>0</v>
      </c>
      <c r="M115" s="30">
        <f t="shared" si="84"/>
        <v>0</v>
      </c>
      <c r="N115" s="30">
        <f t="shared" si="84"/>
        <v>0</v>
      </c>
      <c r="O115" s="30">
        <f t="shared" si="84"/>
        <v>0</v>
      </c>
      <c r="P115" s="169">
        <f>SUM(D115:O115)</f>
        <v>0</v>
      </c>
    </row>
    <row r="116" spans="1:16" outlineLevel="1" collapsed="1">
      <c r="A116" s="22"/>
      <c r="B116" s="35" t="str">
        <f>"    "&amp;"Fremmed tjeneste"</f>
        <v xml:space="preserve">    Fremmed tjeneste</v>
      </c>
      <c r="C116" s="36"/>
      <c r="D116" s="33">
        <f t="shared" ref="D116:P116" si="86">SUM(D112:D115)</f>
        <v>49078.75</v>
      </c>
      <c r="E116" s="33">
        <f t="shared" si="86"/>
        <v>1138198.8399999999</v>
      </c>
      <c r="F116" s="33">
        <f t="shared" si="86"/>
        <v>0</v>
      </c>
      <c r="G116" s="33">
        <f t="shared" si="86"/>
        <v>0</v>
      </c>
      <c r="H116" s="33">
        <f t="shared" si="86"/>
        <v>106310.88</v>
      </c>
      <c r="I116" s="33">
        <f t="shared" si="86"/>
        <v>0</v>
      </c>
      <c r="J116" s="33">
        <f t="shared" si="86"/>
        <v>0</v>
      </c>
      <c r="K116" s="33">
        <f t="shared" si="86"/>
        <v>66772</v>
      </c>
      <c r="L116" s="33">
        <f t="shared" si="86"/>
        <v>0</v>
      </c>
      <c r="M116" s="33">
        <f t="shared" si="86"/>
        <v>30775</v>
      </c>
      <c r="N116" s="33">
        <f t="shared" si="86"/>
        <v>206663.75</v>
      </c>
      <c r="O116" s="33">
        <f t="shared" si="86"/>
        <v>0</v>
      </c>
      <c r="P116" s="170">
        <f t="shared" si="86"/>
        <v>1597799.22</v>
      </c>
    </row>
    <row r="117" spans="1:16" hidden="1" outlineLevel="2">
      <c r="A117" s="22"/>
      <c r="B117" s="28">
        <v>6800</v>
      </c>
      <c r="C117" s="29" t="s">
        <v>160</v>
      </c>
      <c r="D117" s="30">
        <f>N(3741.27)</f>
        <v>3741.27</v>
      </c>
      <c r="E117" s="30">
        <f>N(24898.58)</f>
        <v>24898.58</v>
      </c>
      <c r="F117" s="30">
        <f t="shared" ref="F117:J122" si="87">N(0)</f>
        <v>0</v>
      </c>
      <c r="G117" s="30">
        <f t="shared" si="87"/>
        <v>0</v>
      </c>
      <c r="H117" s="30">
        <f t="shared" si="87"/>
        <v>0</v>
      </c>
      <c r="I117" s="30">
        <f t="shared" si="87"/>
        <v>0</v>
      </c>
      <c r="J117" s="30">
        <f t="shared" si="87"/>
        <v>0</v>
      </c>
      <c r="K117" s="30">
        <f>N(4020.21)</f>
        <v>4020.21</v>
      </c>
      <c r="L117" s="30">
        <f t="shared" ref="L117:O122" si="88">N(0)</f>
        <v>0</v>
      </c>
      <c r="M117" s="30">
        <f t="shared" si="88"/>
        <v>0</v>
      </c>
      <c r="N117" s="30">
        <f t="shared" si="88"/>
        <v>0</v>
      </c>
      <c r="O117" s="30">
        <f t="shared" si="88"/>
        <v>0</v>
      </c>
      <c r="P117" s="169">
        <f t="shared" ref="P117:P122" si="89">SUM(D117:O117)</f>
        <v>32660.06</v>
      </c>
    </row>
    <row r="118" spans="1:16" hidden="1" outlineLevel="2">
      <c r="A118" s="22"/>
      <c r="B118" s="28">
        <v>6820</v>
      </c>
      <c r="C118" s="29" t="s">
        <v>161</v>
      </c>
      <c r="D118" s="30">
        <f>N(5375)</f>
        <v>5375</v>
      </c>
      <c r="E118" s="30">
        <f>N(3487.5)</f>
        <v>3487.5</v>
      </c>
      <c r="F118" s="30">
        <f t="shared" si="87"/>
        <v>0</v>
      </c>
      <c r="G118" s="30">
        <f t="shared" si="87"/>
        <v>0</v>
      </c>
      <c r="H118" s="30">
        <f t="shared" si="87"/>
        <v>0</v>
      </c>
      <c r="I118" s="30">
        <f t="shared" si="87"/>
        <v>0</v>
      </c>
      <c r="J118" s="30">
        <f t="shared" si="87"/>
        <v>0</v>
      </c>
      <c r="K118" s="30">
        <f>N(0)</f>
        <v>0</v>
      </c>
      <c r="L118" s="30">
        <f t="shared" si="88"/>
        <v>0</v>
      </c>
      <c r="M118" s="30">
        <f>N(8239.75)</f>
        <v>8239.75</v>
      </c>
      <c r="N118" s="30">
        <f t="shared" si="88"/>
        <v>0</v>
      </c>
      <c r="O118" s="30">
        <f t="shared" si="88"/>
        <v>0</v>
      </c>
      <c r="P118" s="169">
        <f t="shared" si="89"/>
        <v>17102.25</v>
      </c>
    </row>
    <row r="119" spans="1:16" hidden="1" outlineLevel="2">
      <c r="A119" s="22"/>
      <c r="B119" s="28">
        <v>6840</v>
      </c>
      <c r="C119" s="29" t="s">
        <v>162</v>
      </c>
      <c r="D119" s="30">
        <f>N(1625.22)</f>
        <v>1625.22</v>
      </c>
      <c r="E119" s="30">
        <f>N(24929.06)</f>
        <v>24929.06</v>
      </c>
      <c r="F119" s="30">
        <f t="shared" si="87"/>
        <v>0</v>
      </c>
      <c r="G119" s="30">
        <f t="shared" si="87"/>
        <v>0</v>
      </c>
      <c r="H119" s="30">
        <f t="shared" si="87"/>
        <v>0</v>
      </c>
      <c r="I119" s="30">
        <f t="shared" si="87"/>
        <v>0</v>
      </c>
      <c r="J119" s="30">
        <f t="shared" si="87"/>
        <v>0</v>
      </c>
      <c r="K119" s="30">
        <f>N(7048)</f>
        <v>7048</v>
      </c>
      <c r="L119" s="30">
        <f t="shared" si="88"/>
        <v>0</v>
      </c>
      <c r="M119" s="30">
        <f>N(3000)</f>
        <v>3000</v>
      </c>
      <c r="N119" s="30">
        <f t="shared" si="88"/>
        <v>0</v>
      </c>
      <c r="O119" s="30">
        <f t="shared" si="88"/>
        <v>0</v>
      </c>
      <c r="P119" s="169">
        <f t="shared" si="89"/>
        <v>36602.28</v>
      </c>
    </row>
    <row r="120" spans="1:16" hidden="1" outlineLevel="2">
      <c r="A120" s="22"/>
      <c r="B120" s="28">
        <v>6860</v>
      </c>
      <c r="C120" s="29" t="s">
        <v>164</v>
      </c>
      <c r="D120" s="30">
        <f>N(45836.74)</f>
        <v>45836.74</v>
      </c>
      <c r="E120" s="30">
        <f>N(34817.13)</f>
        <v>34817.129999999997</v>
      </c>
      <c r="F120" s="30">
        <f t="shared" si="87"/>
        <v>0</v>
      </c>
      <c r="G120" s="30">
        <f t="shared" si="87"/>
        <v>0</v>
      </c>
      <c r="H120" s="30">
        <f t="shared" si="87"/>
        <v>0</v>
      </c>
      <c r="I120" s="30">
        <f t="shared" si="87"/>
        <v>0</v>
      </c>
      <c r="J120" s="30">
        <f t="shared" si="87"/>
        <v>0</v>
      </c>
      <c r="K120" s="30">
        <f>N(7491)</f>
        <v>7491</v>
      </c>
      <c r="L120" s="30">
        <f t="shared" si="88"/>
        <v>0</v>
      </c>
      <c r="M120" s="30">
        <f>N(8899.97)</f>
        <v>8899.9699999999993</v>
      </c>
      <c r="N120" s="30">
        <f>N(-19986.04)</f>
        <v>-19986.04</v>
      </c>
      <c r="O120" s="30">
        <f t="shared" si="88"/>
        <v>0</v>
      </c>
      <c r="P120" s="169">
        <f t="shared" si="89"/>
        <v>77058.799999999988</v>
      </c>
    </row>
    <row r="121" spans="1:16" hidden="1" outlineLevel="2">
      <c r="A121" s="22"/>
      <c r="B121" s="28">
        <v>6870</v>
      </c>
      <c r="C121" s="29" t="s">
        <v>165</v>
      </c>
      <c r="D121" s="30">
        <f>N(378)</f>
        <v>378</v>
      </c>
      <c r="E121" s="30">
        <f>N(982)</f>
        <v>982</v>
      </c>
      <c r="F121" s="30">
        <f t="shared" si="87"/>
        <v>0</v>
      </c>
      <c r="G121" s="30">
        <f t="shared" si="87"/>
        <v>0</v>
      </c>
      <c r="H121" s="30">
        <f t="shared" si="87"/>
        <v>0</v>
      </c>
      <c r="I121" s="30">
        <f t="shared" si="87"/>
        <v>0</v>
      </c>
      <c r="J121" s="30">
        <f t="shared" si="87"/>
        <v>0</v>
      </c>
      <c r="K121" s="30">
        <f>N(4990)</f>
        <v>4990</v>
      </c>
      <c r="L121" s="30">
        <f t="shared" si="88"/>
        <v>0</v>
      </c>
      <c r="M121" s="30">
        <f>N(727)</f>
        <v>727</v>
      </c>
      <c r="N121" s="30">
        <f>N(3239.71)</f>
        <v>3239.71</v>
      </c>
      <c r="O121" s="30">
        <f t="shared" si="88"/>
        <v>0</v>
      </c>
      <c r="P121" s="169">
        <f t="shared" si="89"/>
        <v>10316.709999999999</v>
      </c>
    </row>
    <row r="122" spans="1:16" hidden="1" outlineLevel="2">
      <c r="A122" s="22"/>
      <c r="B122" s="28">
        <v>6890</v>
      </c>
      <c r="C122" s="29" t="s">
        <v>166</v>
      </c>
      <c r="D122" s="30">
        <f>N(0)</f>
        <v>0</v>
      </c>
      <c r="E122" s="30">
        <f>N(3346.41)</f>
        <v>3346.41</v>
      </c>
      <c r="F122" s="30">
        <f t="shared" si="87"/>
        <v>0</v>
      </c>
      <c r="G122" s="30">
        <f t="shared" si="87"/>
        <v>0</v>
      </c>
      <c r="H122" s="30">
        <f t="shared" si="87"/>
        <v>0</v>
      </c>
      <c r="I122" s="30">
        <f t="shared" si="87"/>
        <v>0</v>
      </c>
      <c r="J122" s="30">
        <f t="shared" si="87"/>
        <v>0</v>
      </c>
      <c r="K122" s="30">
        <f>N(40362.82)</f>
        <v>40362.82</v>
      </c>
      <c r="L122" s="30">
        <f t="shared" si="88"/>
        <v>0</v>
      </c>
      <c r="M122" s="30">
        <f>N(3285.83)</f>
        <v>3285.83</v>
      </c>
      <c r="N122" s="30">
        <f>N(0)</f>
        <v>0</v>
      </c>
      <c r="O122" s="30">
        <f t="shared" si="88"/>
        <v>0</v>
      </c>
      <c r="P122" s="169">
        <f t="shared" si="89"/>
        <v>46995.06</v>
      </c>
    </row>
    <row r="123" spans="1:16" outlineLevel="1" collapsed="1">
      <c r="A123" s="22"/>
      <c r="B123" s="35" t="str">
        <f>"    "&amp;"Kontor, oppdatering o.l."</f>
        <v xml:space="preserve">    Kontor, oppdatering o.l.</v>
      </c>
      <c r="C123" s="36"/>
      <c r="D123" s="33">
        <f t="shared" ref="D123:P123" si="90">SUM(D117:D122)</f>
        <v>56956.229999999996</v>
      </c>
      <c r="E123" s="33">
        <f t="shared" si="90"/>
        <v>92460.68</v>
      </c>
      <c r="F123" s="33">
        <f t="shared" si="90"/>
        <v>0</v>
      </c>
      <c r="G123" s="33">
        <f t="shared" si="90"/>
        <v>0</v>
      </c>
      <c r="H123" s="33">
        <f t="shared" si="90"/>
        <v>0</v>
      </c>
      <c r="I123" s="33">
        <f t="shared" si="90"/>
        <v>0</v>
      </c>
      <c r="J123" s="33">
        <f t="shared" si="90"/>
        <v>0</v>
      </c>
      <c r="K123" s="33">
        <f t="shared" si="90"/>
        <v>63912.03</v>
      </c>
      <c r="L123" s="33">
        <f t="shared" si="90"/>
        <v>0</v>
      </c>
      <c r="M123" s="33">
        <f t="shared" si="90"/>
        <v>24152.550000000003</v>
      </c>
      <c r="N123" s="33">
        <f t="shared" si="90"/>
        <v>-16746.330000000002</v>
      </c>
      <c r="O123" s="33">
        <f t="shared" si="90"/>
        <v>0</v>
      </c>
      <c r="P123" s="170">
        <f t="shared" si="90"/>
        <v>220735.15999999997</v>
      </c>
    </row>
    <row r="124" spans="1:16" hidden="1" outlineLevel="2">
      <c r="A124" s="22"/>
      <c r="B124" s="28">
        <v>6900</v>
      </c>
      <c r="C124" s="29" t="s">
        <v>167</v>
      </c>
      <c r="D124" s="30">
        <f>N(9432.38)</f>
        <v>9432.3799999999992</v>
      </c>
      <c r="E124" s="30">
        <f>N(21383.5)</f>
        <v>21383.5</v>
      </c>
      <c r="F124" s="30">
        <f t="shared" ref="F124:I127" si="91">N(0)</f>
        <v>0</v>
      </c>
      <c r="G124" s="30">
        <f t="shared" si="91"/>
        <v>0</v>
      </c>
      <c r="H124" s="30">
        <f t="shared" si="91"/>
        <v>0</v>
      </c>
      <c r="I124" s="30">
        <f>N(6625)</f>
        <v>6625</v>
      </c>
      <c r="J124" s="30">
        <f t="shared" ref="J124:J127" si="92">N(0)</f>
        <v>0</v>
      </c>
      <c r="K124" s="30">
        <f>N(6442.74)</f>
        <v>6442.74</v>
      </c>
      <c r="L124" s="30">
        <f t="shared" ref="L124:N127" si="93">N(0)</f>
        <v>0</v>
      </c>
      <c r="M124" s="30">
        <f>N(2254.02)</f>
        <v>2254.02</v>
      </c>
      <c r="N124" s="30">
        <f>N(7297.3)</f>
        <v>7297.3</v>
      </c>
      <c r="O124" s="30">
        <f t="shared" ref="O124:O127" si="94">N(0)</f>
        <v>0</v>
      </c>
      <c r="P124" s="169">
        <f>SUM(D124:O124)</f>
        <v>53434.939999999995</v>
      </c>
    </row>
    <row r="125" spans="1:16" hidden="1" outlineLevel="2">
      <c r="A125" s="22"/>
      <c r="B125" s="28">
        <v>6902</v>
      </c>
      <c r="C125" s="29" t="s">
        <v>169</v>
      </c>
      <c r="D125" s="30">
        <f>N(392.6)</f>
        <v>392.6</v>
      </c>
      <c r="E125" s="30">
        <f>N(0)</f>
        <v>0</v>
      </c>
      <c r="F125" s="30">
        <f t="shared" si="91"/>
        <v>0</v>
      </c>
      <c r="G125" s="30">
        <f t="shared" si="91"/>
        <v>0</v>
      </c>
      <c r="H125" s="30">
        <f t="shared" si="91"/>
        <v>0</v>
      </c>
      <c r="I125" s="30">
        <f t="shared" si="91"/>
        <v>0</v>
      </c>
      <c r="J125" s="30">
        <f t="shared" si="92"/>
        <v>0</v>
      </c>
      <c r="K125" s="30">
        <f>N(0)</f>
        <v>0</v>
      </c>
      <c r="L125" s="30">
        <f t="shared" si="93"/>
        <v>0</v>
      </c>
      <c r="M125" s="30">
        <f t="shared" si="93"/>
        <v>0</v>
      </c>
      <c r="N125" s="30">
        <f t="shared" si="93"/>
        <v>0</v>
      </c>
      <c r="O125" s="30">
        <f t="shared" si="94"/>
        <v>0</v>
      </c>
      <c r="P125" s="169">
        <f>SUM(D125:O125)</f>
        <v>392.6</v>
      </c>
    </row>
    <row r="126" spans="1:16" hidden="1" outlineLevel="2">
      <c r="A126" s="22"/>
      <c r="B126" s="28">
        <v>6905</v>
      </c>
      <c r="C126" s="29" t="s">
        <v>170</v>
      </c>
      <c r="D126" s="30">
        <f>N(892.5)</f>
        <v>892.5</v>
      </c>
      <c r="E126" s="30">
        <f>N(127273.14)</f>
        <v>127273.14</v>
      </c>
      <c r="F126" s="30">
        <f t="shared" si="91"/>
        <v>0</v>
      </c>
      <c r="G126" s="30">
        <f t="shared" si="91"/>
        <v>0</v>
      </c>
      <c r="H126" s="30">
        <f t="shared" si="91"/>
        <v>0</v>
      </c>
      <c r="I126" s="30">
        <f t="shared" si="91"/>
        <v>0</v>
      </c>
      <c r="J126" s="30">
        <f t="shared" si="92"/>
        <v>0</v>
      </c>
      <c r="K126" s="30">
        <f>N(711)</f>
        <v>711</v>
      </c>
      <c r="L126" s="30">
        <f t="shared" si="93"/>
        <v>0</v>
      </c>
      <c r="M126" s="30">
        <f>N(680)</f>
        <v>680</v>
      </c>
      <c r="N126" s="30">
        <f>N(1125)</f>
        <v>1125</v>
      </c>
      <c r="O126" s="30">
        <f t="shared" si="94"/>
        <v>0</v>
      </c>
      <c r="P126" s="169">
        <f>SUM(D126:O126)</f>
        <v>130681.64</v>
      </c>
    </row>
    <row r="127" spans="1:16" hidden="1" outlineLevel="2">
      <c r="A127" s="22"/>
      <c r="B127" s="28">
        <v>6940</v>
      </c>
      <c r="C127" s="29" t="s">
        <v>171</v>
      </c>
      <c r="D127" s="30">
        <f>N(18756.86)</f>
        <v>18756.86</v>
      </c>
      <c r="E127" s="30">
        <f>N(54586.82)</f>
        <v>54586.82</v>
      </c>
      <c r="F127" s="30">
        <f t="shared" si="91"/>
        <v>0</v>
      </c>
      <c r="G127" s="30">
        <f t="shared" si="91"/>
        <v>0</v>
      </c>
      <c r="H127" s="30">
        <f t="shared" si="91"/>
        <v>0</v>
      </c>
      <c r="I127" s="30">
        <f t="shared" si="91"/>
        <v>0</v>
      </c>
      <c r="J127" s="30">
        <f t="shared" si="92"/>
        <v>0</v>
      </c>
      <c r="K127" s="30">
        <f>N(0)</f>
        <v>0</v>
      </c>
      <c r="L127" s="30">
        <f t="shared" si="93"/>
        <v>0</v>
      </c>
      <c r="M127" s="30">
        <f>N(26740.96)</f>
        <v>26740.959999999999</v>
      </c>
      <c r="N127" s="30">
        <f>N(185)</f>
        <v>185</v>
      </c>
      <c r="O127" s="30">
        <f t="shared" si="94"/>
        <v>0</v>
      </c>
      <c r="P127" s="169">
        <f>SUM(D127:O127)</f>
        <v>100269.63999999998</v>
      </c>
    </row>
    <row r="128" spans="1:16" outlineLevel="1" collapsed="1">
      <c r="A128" s="22"/>
      <c r="B128" s="35" t="str">
        <f>"    "&amp;"Telefon og porto o.l."</f>
        <v xml:space="preserve">    Telefon og porto o.l.</v>
      </c>
      <c r="C128" s="36"/>
      <c r="D128" s="33">
        <f t="shared" ref="D128:P128" si="95">SUM(D124:D127)</f>
        <v>29474.34</v>
      </c>
      <c r="E128" s="33">
        <f t="shared" si="95"/>
        <v>203243.46000000002</v>
      </c>
      <c r="F128" s="33">
        <f t="shared" si="95"/>
        <v>0</v>
      </c>
      <c r="G128" s="33">
        <f t="shared" si="95"/>
        <v>0</v>
      </c>
      <c r="H128" s="33">
        <f t="shared" si="95"/>
        <v>0</v>
      </c>
      <c r="I128" s="33">
        <f t="shared" si="95"/>
        <v>6625</v>
      </c>
      <c r="J128" s="33">
        <f t="shared" si="95"/>
        <v>0</v>
      </c>
      <c r="K128" s="33">
        <f t="shared" si="95"/>
        <v>7153.74</v>
      </c>
      <c r="L128" s="33">
        <f t="shared" si="95"/>
        <v>0</v>
      </c>
      <c r="M128" s="33">
        <f t="shared" si="95"/>
        <v>29674.98</v>
      </c>
      <c r="N128" s="33">
        <f t="shared" si="95"/>
        <v>8607.2999999999993</v>
      </c>
      <c r="O128" s="33">
        <f t="shared" si="95"/>
        <v>0</v>
      </c>
      <c r="P128" s="170">
        <f t="shared" si="95"/>
        <v>284778.81999999995</v>
      </c>
    </row>
    <row r="129" spans="1:16" hidden="1" outlineLevel="2">
      <c r="A129" s="22"/>
      <c r="B129" s="28">
        <v>7730</v>
      </c>
      <c r="C129" s="29" t="s">
        <v>173</v>
      </c>
      <c r="D129" s="30">
        <f>N(4401633.91)</f>
        <v>4401633.91</v>
      </c>
      <c r="E129" s="30">
        <f t="shared" ref="E129:O131" si="96">N(0)</f>
        <v>0</v>
      </c>
      <c r="F129" s="30">
        <f t="shared" si="96"/>
        <v>0</v>
      </c>
      <c r="G129" s="30">
        <f t="shared" si="96"/>
        <v>0</v>
      </c>
      <c r="H129" s="30">
        <f t="shared" si="96"/>
        <v>0</v>
      </c>
      <c r="I129" s="30">
        <f t="shared" si="96"/>
        <v>0</v>
      </c>
      <c r="J129" s="30">
        <f t="shared" si="96"/>
        <v>0</v>
      </c>
      <c r="K129" s="30">
        <f t="shared" si="96"/>
        <v>0</v>
      </c>
      <c r="L129" s="30">
        <f t="shared" si="96"/>
        <v>0</v>
      </c>
      <c r="M129" s="30">
        <f t="shared" si="96"/>
        <v>0</v>
      </c>
      <c r="N129" s="30">
        <f t="shared" si="96"/>
        <v>0</v>
      </c>
      <c r="O129" s="30">
        <f t="shared" si="96"/>
        <v>0</v>
      </c>
      <c r="P129" s="169">
        <f>SUM(D129:O129)</f>
        <v>4401633.91</v>
      </c>
    </row>
    <row r="130" spans="1:16" hidden="1" outlineLevel="2">
      <c r="A130" s="22"/>
      <c r="B130" s="28">
        <v>7731</v>
      </c>
      <c r="C130" s="29" t="s">
        <v>174</v>
      </c>
      <c r="D130" s="30">
        <f>N(4457691.2)</f>
        <v>4457691.2</v>
      </c>
      <c r="E130" s="30">
        <f t="shared" si="96"/>
        <v>0</v>
      </c>
      <c r="F130" s="30">
        <f t="shared" si="96"/>
        <v>0</v>
      </c>
      <c r="G130" s="30">
        <f t="shared" si="96"/>
        <v>0</v>
      </c>
      <c r="H130" s="30">
        <f t="shared" si="96"/>
        <v>0</v>
      </c>
      <c r="I130" s="30">
        <f t="shared" si="96"/>
        <v>0</v>
      </c>
      <c r="J130" s="30">
        <f t="shared" si="96"/>
        <v>0</v>
      </c>
      <c r="K130" s="30">
        <f t="shared" si="96"/>
        <v>0</v>
      </c>
      <c r="L130" s="30">
        <f t="shared" si="96"/>
        <v>0</v>
      </c>
      <c r="M130" s="30">
        <f t="shared" si="96"/>
        <v>0</v>
      </c>
      <c r="N130" s="30">
        <f t="shared" si="96"/>
        <v>0</v>
      </c>
      <c r="O130" s="30">
        <f t="shared" si="96"/>
        <v>0</v>
      </c>
      <c r="P130" s="169">
        <f>SUM(D130:O130)</f>
        <v>4457691.2</v>
      </c>
    </row>
    <row r="131" spans="1:16" hidden="1" outlineLevel="2">
      <c r="A131" s="22"/>
      <c r="B131" s="28">
        <v>7735</v>
      </c>
      <c r="C131" s="29" t="s">
        <v>175</v>
      </c>
      <c r="D131" s="30">
        <f>N(832630.65)</f>
        <v>832630.65</v>
      </c>
      <c r="E131" s="30">
        <f t="shared" si="96"/>
        <v>0</v>
      </c>
      <c r="F131" s="30">
        <f t="shared" si="96"/>
        <v>0</v>
      </c>
      <c r="G131" s="30">
        <f t="shared" si="96"/>
        <v>0</v>
      </c>
      <c r="H131" s="30">
        <f t="shared" si="96"/>
        <v>0</v>
      </c>
      <c r="I131" s="30">
        <f t="shared" si="96"/>
        <v>0</v>
      </c>
      <c r="J131" s="30">
        <f t="shared" si="96"/>
        <v>0</v>
      </c>
      <c r="K131" s="30">
        <f t="shared" si="96"/>
        <v>0</v>
      </c>
      <c r="L131" s="30">
        <f t="shared" si="96"/>
        <v>0</v>
      </c>
      <c r="M131" s="30">
        <f t="shared" si="96"/>
        <v>0</v>
      </c>
      <c r="N131" s="30">
        <f t="shared" si="96"/>
        <v>0</v>
      </c>
      <c r="O131" s="30">
        <f t="shared" si="96"/>
        <v>0</v>
      </c>
      <c r="P131" s="169">
        <f>SUM(D131:O131)</f>
        <v>832630.65</v>
      </c>
    </row>
    <row r="132" spans="1:16" outlineLevel="1" collapsed="1">
      <c r="A132" s="22"/>
      <c r="B132" s="35" t="str">
        <f>"    "&amp;"Evangelisering og misjon"</f>
        <v xml:space="preserve">    Evangelisering og misjon</v>
      </c>
      <c r="C132" s="36"/>
      <c r="D132" s="33">
        <f t="shared" ref="D132:P132" si="97">SUM(D129:D131)</f>
        <v>9691955.7599999998</v>
      </c>
      <c r="E132" s="33">
        <f t="shared" si="97"/>
        <v>0</v>
      </c>
      <c r="F132" s="33">
        <f t="shared" si="97"/>
        <v>0</v>
      </c>
      <c r="G132" s="33">
        <f t="shared" si="97"/>
        <v>0</v>
      </c>
      <c r="H132" s="33">
        <f t="shared" si="97"/>
        <v>0</v>
      </c>
      <c r="I132" s="33">
        <f t="shared" si="97"/>
        <v>0</v>
      </c>
      <c r="J132" s="33">
        <f t="shared" si="97"/>
        <v>0</v>
      </c>
      <c r="K132" s="33">
        <f t="shared" si="97"/>
        <v>0</v>
      </c>
      <c r="L132" s="33">
        <f t="shared" si="97"/>
        <v>0</v>
      </c>
      <c r="M132" s="33">
        <f t="shared" si="97"/>
        <v>0</v>
      </c>
      <c r="N132" s="33">
        <f t="shared" si="97"/>
        <v>0</v>
      </c>
      <c r="O132" s="33">
        <f t="shared" si="97"/>
        <v>0</v>
      </c>
      <c r="P132" s="170">
        <f t="shared" si="97"/>
        <v>9691955.7599999998</v>
      </c>
    </row>
    <row r="133" spans="1:16" hidden="1" outlineLevel="2">
      <c r="A133" s="22"/>
      <c r="B133" s="28">
        <v>7100</v>
      </c>
      <c r="C133" s="29" t="s">
        <v>176</v>
      </c>
      <c r="D133" s="30">
        <f>N(252)</f>
        <v>252</v>
      </c>
      <c r="E133" s="30">
        <f t="shared" ref="E133:H139" si="98">N(0)</f>
        <v>0</v>
      </c>
      <c r="F133" s="30">
        <f t="shared" si="98"/>
        <v>0</v>
      </c>
      <c r="G133" s="30">
        <f t="shared" si="98"/>
        <v>0</v>
      </c>
      <c r="H133" s="30">
        <f>N(770)</f>
        <v>770</v>
      </c>
      <c r="I133" s="30">
        <f t="shared" ref="I133:J139" si="99">N(0)</f>
        <v>0</v>
      </c>
      <c r="J133" s="30">
        <f t="shared" si="99"/>
        <v>0</v>
      </c>
      <c r="K133" s="30">
        <f>N(9697.4)</f>
        <v>9697.4</v>
      </c>
      <c r="L133" s="30">
        <f t="shared" ref="L133:N139" si="100">N(0)</f>
        <v>0</v>
      </c>
      <c r="M133" s="30">
        <f>N(18003.6)</f>
        <v>18003.599999999999</v>
      </c>
      <c r="N133" s="30">
        <f>N(68425.66)</f>
        <v>68425.66</v>
      </c>
      <c r="O133" s="30">
        <f t="shared" ref="O133:O139" si="101">N(0)</f>
        <v>0</v>
      </c>
      <c r="P133" s="169">
        <f t="shared" ref="P133:P139" si="102">SUM(D133:O133)</f>
        <v>97148.66</v>
      </c>
    </row>
    <row r="134" spans="1:16" hidden="1" outlineLevel="2">
      <c r="A134" s="22"/>
      <c r="B134" s="28">
        <v>7101</v>
      </c>
      <c r="C134" s="29" t="s">
        <v>177</v>
      </c>
      <c r="D134" s="30">
        <f>N(26168.6)</f>
        <v>26168.6</v>
      </c>
      <c r="E134" s="30">
        <f>N(1773.5)</f>
        <v>1773.5</v>
      </c>
      <c r="F134" s="30">
        <f t="shared" si="98"/>
        <v>0</v>
      </c>
      <c r="G134" s="30">
        <f t="shared" si="98"/>
        <v>0</v>
      </c>
      <c r="H134" s="30">
        <f>N(0)</f>
        <v>0</v>
      </c>
      <c r="I134" s="30">
        <f t="shared" si="99"/>
        <v>0</v>
      </c>
      <c r="J134" s="30">
        <f t="shared" si="99"/>
        <v>0</v>
      </c>
      <c r="K134" s="30">
        <f>N(98877.55)</f>
        <v>98877.55</v>
      </c>
      <c r="L134" s="30">
        <f t="shared" si="100"/>
        <v>0</v>
      </c>
      <c r="M134" s="30">
        <f>N(18965.7)</f>
        <v>18965.7</v>
      </c>
      <c r="N134" s="30">
        <f>N(17973.3)</f>
        <v>17973.3</v>
      </c>
      <c r="O134" s="30">
        <f t="shared" si="101"/>
        <v>0</v>
      </c>
      <c r="P134" s="169">
        <f t="shared" si="102"/>
        <v>163758.65</v>
      </c>
    </row>
    <row r="135" spans="1:16" hidden="1" outlineLevel="2">
      <c r="A135" s="22"/>
      <c r="B135" s="28">
        <v>7140</v>
      </c>
      <c r="C135" s="29" t="s">
        <v>178</v>
      </c>
      <c r="D135" s="30">
        <f>N(89931.03)</f>
        <v>89931.03</v>
      </c>
      <c r="E135" s="30">
        <f>N(12586.55)</f>
        <v>12586.55</v>
      </c>
      <c r="F135" s="30">
        <f t="shared" si="98"/>
        <v>0</v>
      </c>
      <c r="G135" s="30">
        <f t="shared" si="98"/>
        <v>0</v>
      </c>
      <c r="H135" s="30">
        <f>N(7065.04)</f>
        <v>7065.04</v>
      </c>
      <c r="I135" s="30">
        <f t="shared" si="99"/>
        <v>0</v>
      </c>
      <c r="J135" s="30">
        <f t="shared" si="99"/>
        <v>0</v>
      </c>
      <c r="K135" s="30">
        <f>N(129995.44)</f>
        <v>129995.44</v>
      </c>
      <c r="L135" s="30">
        <f t="shared" si="100"/>
        <v>0</v>
      </c>
      <c r="M135" s="30">
        <f>N(149880.13)</f>
        <v>149880.13</v>
      </c>
      <c r="N135" s="30">
        <f>N(208786.98)</f>
        <v>208786.98</v>
      </c>
      <c r="O135" s="30">
        <f t="shared" si="101"/>
        <v>0</v>
      </c>
      <c r="P135" s="169">
        <f t="shared" si="102"/>
        <v>598245.17000000004</v>
      </c>
    </row>
    <row r="136" spans="1:16" hidden="1" outlineLevel="2">
      <c r="A136" s="22"/>
      <c r="B136" s="28">
        <v>7141</v>
      </c>
      <c r="C136" s="29" t="s">
        <v>179</v>
      </c>
      <c r="D136" s="30">
        <f>N(57408.55)</f>
        <v>57408.55</v>
      </c>
      <c r="E136" s="30">
        <f t="shared" ref="E136:E139" si="103">N(0)</f>
        <v>0</v>
      </c>
      <c r="F136" s="30">
        <f t="shared" si="98"/>
        <v>0</v>
      </c>
      <c r="G136" s="30">
        <f t="shared" si="98"/>
        <v>0</v>
      </c>
      <c r="H136" s="30">
        <f t="shared" si="98"/>
        <v>0</v>
      </c>
      <c r="I136" s="30">
        <f t="shared" si="99"/>
        <v>0</v>
      </c>
      <c r="J136" s="30">
        <f t="shared" si="99"/>
        <v>0</v>
      </c>
      <c r="K136" s="30">
        <f>N(0)</f>
        <v>0</v>
      </c>
      <c r="L136" s="30">
        <f t="shared" si="100"/>
        <v>0</v>
      </c>
      <c r="M136" s="30">
        <f>N(6000)</f>
        <v>6000</v>
      </c>
      <c r="N136" s="30">
        <f>N(12815.57)</f>
        <v>12815.57</v>
      </c>
      <c r="O136" s="30">
        <f t="shared" si="101"/>
        <v>0</v>
      </c>
      <c r="P136" s="169">
        <f t="shared" si="102"/>
        <v>76224.12</v>
      </c>
    </row>
    <row r="137" spans="1:16" hidden="1" outlineLevel="2">
      <c r="A137" s="22"/>
      <c r="B137" s="28">
        <v>7150</v>
      </c>
      <c r="C137" s="29" t="s">
        <v>180</v>
      </c>
      <c r="D137" s="30">
        <f>N(2132)</f>
        <v>2132</v>
      </c>
      <c r="E137" s="30">
        <f t="shared" si="103"/>
        <v>0</v>
      </c>
      <c r="F137" s="30">
        <f t="shared" si="98"/>
        <v>0</v>
      </c>
      <c r="G137" s="30">
        <f t="shared" si="98"/>
        <v>0</v>
      </c>
      <c r="H137" s="30">
        <f t="shared" si="98"/>
        <v>0</v>
      </c>
      <c r="I137" s="30">
        <f t="shared" si="99"/>
        <v>0</v>
      </c>
      <c r="J137" s="30">
        <f t="shared" si="99"/>
        <v>0</v>
      </c>
      <c r="K137" s="30">
        <f>N(2436)</f>
        <v>2436</v>
      </c>
      <c r="L137" s="30">
        <f t="shared" si="100"/>
        <v>0</v>
      </c>
      <c r="M137" s="30">
        <f t="shared" si="100"/>
        <v>0</v>
      </c>
      <c r="N137" s="30">
        <f>N(1384.5)</f>
        <v>1384.5</v>
      </c>
      <c r="O137" s="30">
        <f t="shared" si="101"/>
        <v>0</v>
      </c>
      <c r="P137" s="169">
        <f t="shared" si="102"/>
        <v>5952.5</v>
      </c>
    </row>
    <row r="138" spans="1:16" hidden="1" outlineLevel="2">
      <c r="A138" s="22"/>
      <c r="B138" s="28">
        <v>7151</v>
      </c>
      <c r="C138" s="29" t="s">
        <v>181</v>
      </c>
      <c r="D138" s="30">
        <f>N(1496)</f>
        <v>1496</v>
      </c>
      <c r="E138" s="30">
        <f t="shared" si="103"/>
        <v>0</v>
      </c>
      <c r="F138" s="30">
        <f t="shared" si="98"/>
        <v>0</v>
      </c>
      <c r="G138" s="30">
        <f t="shared" si="98"/>
        <v>0</v>
      </c>
      <c r="H138" s="30">
        <f t="shared" si="98"/>
        <v>0</v>
      </c>
      <c r="I138" s="30">
        <f t="shared" si="99"/>
        <v>0</v>
      </c>
      <c r="J138" s="30">
        <f t="shared" si="99"/>
        <v>0</v>
      </c>
      <c r="K138" s="30">
        <f>N(768)</f>
        <v>768</v>
      </c>
      <c r="L138" s="30">
        <f t="shared" si="100"/>
        <v>0</v>
      </c>
      <c r="M138" s="30">
        <f t="shared" si="100"/>
        <v>0</v>
      </c>
      <c r="N138" s="30">
        <f t="shared" si="100"/>
        <v>0</v>
      </c>
      <c r="O138" s="30">
        <f t="shared" si="101"/>
        <v>0</v>
      </c>
      <c r="P138" s="169">
        <f t="shared" si="102"/>
        <v>2264</v>
      </c>
    </row>
    <row r="139" spans="1:16" hidden="1" outlineLevel="2">
      <c r="A139" s="22"/>
      <c r="B139" s="28">
        <v>7170</v>
      </c>
      <c r="C139" s="29" t="s">
        <v>182</v>
      </c>
      <c r="D139" s="30">
        <f>N(71660.61)</f>
        <v>71660.61</v>
      </c>
      <c r="E139" s="30">
        <f t="shared" si="103"/>
        <v>0</v>
      </c>
      <c r="F139" s="30">
        <f t="shared" si="98"/>
        <v>0</v>
      </c>
      <c r="G139" s="30">
        <f t="shared" si="98"/>
        <v>0</v>
      </c>
      <c r="H139" s="30">
        <f t="shared" si="98"/>
        <v>0</v>
      </c>
      <c r="I139" s="30">
        <f t="shared" si="99"/>
        <v>0</v>
      </c>
      <c r="J139" s="30">
        <f t="shared" si="99"/>
        <v>0</v>
      </c>
      <c r="K139" s="30">
        <f>N(0)</f>
        <v>0</v>
      </c>
      <c r="L139" s="30">
        <f t="shared" si="100"/>
        <v>0</v>
      </c>
      <c r="M139" s="30">
        <f t="shared" si="100"/>
        <v>0</v>
      </c>
      <c r="N139" s="30">
        <f t="shared" si="100"/>
        <v>0</v>
      </c>
      <c r="O139" s="30">
        <f t="shared" si="101"/>
        <v>0</v>
      </c>
      <c r="P139" s="169">
        <f t="shared" si="102"/>
        <v>71660.61</v>
      </c>
    </row>
    <row r="140" spans="1:16" outlineLevel="1" collapsed="1">
      <c r="A140" s="22"/>
      <c r="B140" s="35" t="str">
        <f>"    "&amp;"Reise"</f>
        <v xml:space="preserve">    Reise</v>
      </c>
      <c r="C140" s="36"/>
      <c r="D140" s="33">
        <f t="shared" ref="D140:P140" si="104">SUM(D133:D139)</f>
        <v>249048.78999999998</v>
      </c>
      <c r="E140" s="33">
        <f t="shared" si="104"/>
        <v>14360.05</v>
      </c>
      <c r="F140" s="33">
        <f t="shared" si="104"/>
        <v>0</v>
      </c>
      <c r="G140" s="33">
        <f t="shared" si="104"/>
        <v>0</v>
      </c>
      <c r="H140" s="33">
        <f t="shared" si="104"/>
        <v>7835.04</v>
      </c>
      <c r="I140" s="33">
        <f t="shared" si="104"/>
        <v>0</v>
      </c>
      <c r="J140" s="33">
        <f t="shared" si="104"/>
        <v>0</v>
      </c>
      <c r="K140" s="33">
        <f t="shared" si="104"/>
        <v>241774.39</v>
      </c>
      <c r="L140" s="33">
        <f t="shared" si="104"/>
        <v>0</v>
      </c>
      <c r="M140" s="33">
        <f t="shared" si="104"/>
        <v>192849.43</v>
      </c>
      <c r="N140" s="33">
        <f t="shared" si="104"/>
        <v>309386.01</v>
      </c>
      <c r="O140" s="33">
        <f t="shared" si="104"/>
        <v>0</v>
      </c>
      <c r="P140" s="170">
        <f t="shared" si="104"/>
        <v>1015253.71</v>
      </c>
    </row>
    <row r="141" spans="1:16" hidden="1" outlineLevel="2">
      <c r="A141" s="22"/>
      <c r="B141" s="28">
        <v>7320</v>
      </c>
      <c r="C141" s="29" t="s">
        <v>183</v>
      </c>
      <c r="D141" s="30">
        <f>N(92184.5)</f>
        <v>92184.5</v>
      </c>
      <c r="E141" s="30">
        <f t="shared" ref="E141:O142" si="105">N(0)</f>
        <v>0</v>
      </c>
      <c r="F141" s="30">
        <f t="shared" si="105"/>
        <v>0</v>
      </c>
      <c r="G141" s="30">
        <f t="shared" si="105"/>
        <v>0</v>
      </c>
      <c r="H141" s="30">
        <f t="shared" si="105"/>
        <v>0</v>
      </c>
      <c r="I141" s="30">
        <f t="shared" si="105"/>
        <v>0</v>
      </c>
      <c r="J141" s="30">
        <f t="shared" si="105"/>
        <v>0</v>
      </c>
      <c r="K141" s="30">
        <f t="shared" si="105"/>
        <v>0</v>
      </c>
      <c r="L141" s="30">
        <f t="shared" si="105"/>
        <v>0</v>
      </c>
      <c r="M141" s="30">
        <f t="shared" si="105"/>
        <v>0</v>
      </c>
      <c r="N141" s="30">
        <f t="shared" si="105"/>
        <v>0</v>
      </c>
      <c r="O141" s="30">
        <f t="shared" si="105"/>
        <v>0</v>
      </c>
      <c r="P141" s="169">
        <f>SUM(D141:O141)</f>
        <v>92184.5</v>
      </c>
    </row>
    <row r="142" spans="1:16" hidden="1" outlineLevel="2">
      <c r="A142" s="22"/>
      <c r="B142" s="28">
        <v>7331</v>
      </c>
      <c r="C142" s="29" t="s">
        <v>184</v>
      </c>
      <c r="D142" s="30">
        <f>N(0)</f>
        <v>0</v>
      </c>
      <c r="E142" s="30">
        <f>N(29750)</f>
        <v>29750</v>
      </c>
      <c r="F142" s="30">
        <f t="shared" si="105"/>
        <v>0</v>
      </c>
      <c r="G142" s="30">
        <f t="shared" si="105"/>
        <v>0</v>
      </c>
      <c r="H142" s="30">
        <f t="shared" si="105"/>
        <v>0</v>
      </c>
      <c r="I142" s="30">
        <f t="shared" si="105"/>
        <v>0</v>
      </c>
      <c r="J142" s="30">
        <f t="shared" si="105"/>
        <v>0</v>
      </c>
      <c r="K142" s="30">
        <f t="shared" si="105"/>
        <v>0</v>
      </c>
      <c r="L142" s="30">
        <f t="shared" si="105"/>
        <v>0</v>
      </c>
      <c r="M142" s="30">
        <f t="shared" si="105"/>
        <v>0</v>
      </c>
      <c r="N142" s="30">
        <f t="shared" si="105"/>
        <v>0</v>
      </c>
      <c r="O142" s="30">
        <f t="shared" si="105"/>
        <v>0</v>
      </c>
      <c r="P142" s="169">
        <f>SUM(D142:O142)</f>
        <v>29750</v>
      </c>
    </row>
    <row r="143" spans="1:16" outlineLevel="1" collapsed="1">
      <c r="A143" s="22"/>
      <c r="B143" s="35" t="str">
        <f>"    "&amp;"Salgs-, reklame- og representasjonskostnader"</f>
        <v xml:space="preserve">    Salgs-, reklame- og representasjonskostnader</v>
      </c>
      <c r="C143" s="36"/>
      <c r="D143" s="33">
        <f t="shared" ref="D143:P143" si="106">SUM(D141:D142)</f>
        <v>92184.5</v>
      </c>
      <c r="E143" s="33">
        <f t="shared" si="106"/>
        <v>29750</v>
      </c>
      <c r="F143" s="33">
        <f t="shared" si="106"/>
        <v>0</v>
      </c>
      <c r="G143" s="33">
        <f t="shared" si="106"/>
        <v>0</v>
      </c>
      <c r="H143" s="33">
        <f t="shared" si="106"/>
        <v>0</v>
      </c>
      <c r="I143" s="33">
        <f t="shared" si="106"/>
        <v>0</v>
      </c>
      <c r="J143" s="33">
        <f t="shared" si="106"/>
        <v>0</v>
      </c>
      <c r="K143" s="33">
        <f t="shared" si="106"/>
        <v>0</v>
      </c>
      <c r="L143" s="33">
        <f t="shared" si="106"/>
        <v>0</v>
      </c>
      <c r="M143" s="33">
        <f t="shared" si="106"/>
        <v>0</v>
      </c>
      <c r="N143" s="33">
        <f t="shared" si="106"/>
        <v>0</v>
      </c>
      <c r="O143" s="33">
        <f t="shared" si="106"/>
        <v>0</v>
      </c>
      <c r="P143" s="170">
        <f t="shared" si="106"/>
        <v>121934.5</v>
      </c>
    </row>
    <row r="144" spans="1:16" hidden="1" outlineLevel="2">
      <c r="A144" s="22"/>
      <c r="B144" s="28">
        <v>7410</v>
      </c>
      <c r="C144" s="29" t="s">
        <v>185</v>
      </c>
      <c r="D144" s="30">
        <f>N(58165)</f>
        <v>58165</v>
      </c>
      <c r="E144" s="30">
        <f>N(49830)</f>
        <v>49830</v>
      </c>
      <c r="F144" s="30">
        <f t="shared" ref="F144:O154" si="107">N(0)</f>
        <v>0</v>
      </c>
      <c r="G144" s="30">
        <f t="shared" si="107"/>
        <v>0</v>
      </c>
      <c r="H144" s="30">
        <f t="shared" si="107"/>
        <v>0</v>
      </c>
      <c r="I144" s="30">
        <f t="shared" si="107"/>
        <v>0</v>
      </c>
      <c r="J144" s="30">
        <f t="shared" si="107"/>
        <v>0</v>
      </c>
      <c r="K144" s="30">
        <f t="shared" si="107"/>
        <v>0</v>
      </c>
      <c r="L144" s="30">
        <f t="shared" si="107"/>
        <v>0</v>
      </c>
      <c r="M144" s="30">
        <f>N(141336.49)</f>
        <v>141336.49</v>
      </c>
      <c r="N144" s="30">
        <f>N(4300)</f>
        <v>4300</v>
      </c>
      <c r="O144" s="30">
        <f t="shared" ref="O144:O145" si="108">N(0)</f>
        <v>0</v>
      </c>
      <c r="P144" s="169">
        <f t="shared" ref="P144:P154" si="109">SUM(D144:O144)</f>
        <v>253631.49</v>
      </c>
    </row>
    <row r="145" spans="1:16" hidden="1" outlineLevel="2">
      <c r="A145" s="22"/>
      <c r="B145" s="28">
        <v>7430</v>
      </c>
      <c r="C145" s="29" t="s">
        <v>186</v>
      </c>
      <c r="D145" s="30">
        <f t="shared" ref="D145:E154" si="110">N(0)</f>
        <v>0</v>
      </c>
      <c r="E145" s="30">
        <f t="shared" si="110"/>
        <v>0</v>
      </c>
      <c r="F145" s="30">
        <f t="shared" si="107"/>
        <v>0</v>
      </c>
      <c r="G145" s="30">
        <f t="shared" si="107"/>
        <v>0</v>
      </c>
      <c r="H145" s="30">
        <f t="shared" si="107"/>
        <v>0</v>
      </c>
      <c r="I145" s="30">
        <f t="shared" si="107"/>
        <v>0</v>
      </c>
      <c r="J145" s="30">
        <f>N(200000)</f>
        <v>200000</v>
      </c>
      <c r="K145" s="30">
        <f t="shared" si="107"/>
        <v>0</v>
      </c>
      <c r="L145" s="30">
        <f t="shared" si="107"/>
        <v>0</v>
      </c>
      <c r="M145" s="30">
        <f>N(6617.5)</f>
        <v>6617.5</v>
      </c>
      <c r="N145" s="30">
        <f>N(2145.7)</f>
        <v>2145.6999999999998</v>
      </c>
      <c r="O145" s="30">
        <f t="shared" si="108"/>
        <v>0</v>
      </c>
      <c r="P145" s="169">
        <f t="shared" si="109"/>
        <v>208763.2</v>
      </c>
    </row>
    <row r="146" spans="1:16" hidden="1" outlineLevel="2">
      <c r="A146" s="22"/>
      <c r="B146" s="28">
        <v>7432</v>
      </c>
      <c r="C146" s="29" t="s">
        <v>187</v>
      </c>
      <c r="D146" s="30">
        <f t="shared" si="110"/>
        <v>0</v>
      </c>
      <c r="E146" s="30">
        <f t="shared" si="110"/>
        <v>0</v>
      </c>
      <c r="F146" s="30">
        <f t="shared" si="107"/>
        <v>0</v>
      </c>
      <c r="G146" s="30">
        <f t="shared" si="107"/>
        <v>0</v>
      </c>
      <c r="H146" s="30">
        <f>N(-75000)</f>
        <v>-75000</v>
      </c>
      <c r="I146" s="30">
        <f t="shared" si="107"/>
        <v>0</v>
      </c>
      <c r="J146" s="30">
        <f t="shared" si="107"/>
        <v>0</v>
      </c>
      <c r="K146" s="30">
        <f t="shared" si="107"/>
        <v>0</v>
      </c>
      <c r="L146" s="30">
        <f t="shared" si="107"/>
        <v>0</v>
      </c>
      <c r="M146" s="30">
        <f t="shared" si="107"/>
        <v>0</v>
      </c>
      <c r="N146" s="30">
        <f t="shared" si="107"/>
        <v>0</v>
      </c>
      <c r="O146" s="30">
        <f>N(75000)</f>
        <v>75000</v>
      </c>
      <c r="P146" s="169">
        <f t="shared" si="109"/>
        <v>0</v>
      </c>
    </row>
    <row r="147" spans="1:16" hidden="1" outlineLevel="2">
      <c r="A147" s="22"/>
      <c r="B147" s="28">
        <v>7437</v>
      </c>
      <c r="C147" s="29" t="s">
        <v>188</v>
      </c>
      <c r="D147" s="30">
        <f t="shared" si="110"/>
        <v>0</v>
      </c>
      <c r="E147" s="30">
        <f t="shared" si="110"/>
        <v>0</v>
      </c>
      <c r="F147" s="30">
        <f t="shared" si="107"/>
        <v>0</v>
      </c>
      <c r="G147" s="30">
        <f>N(250000)</f>
        <v>250000</v>
      </c>
      <c r="H147" s="30">
        <f t="shared" ref="H147:H154" si="111">N(0)</f>
        <v>0</v>
      </c>
      <c r="I147" s="30">
        <f t="shared" si="107"/>
        <v>0</v>
      </c>
      <c r="J147" s="30">
        <f t="shared" si="107"/>
        <v>0</v>
      </c>
      <c r="K147" s="30">
        <f t="shared" si="107"/>
        <v>0</v>
      </c>
      <c r="L147" s="30">
        <f t="shared" si="107"/>
        <v>0</v>
      </c>
      <c r="M147" s="30">
        <f t="shared" si="107"/>
        <v>0</v>
      </c>
      <c r="N147" s="30">
        <f t="shared" si="107"/>
        <v>0</v>
      </c>
      <c r="O147" s="30">
        <f t="shared" si="107"/>
        <v>0</v>
      </c>
      <c r="P147" s="169">
        <f t="shared" si="109"/>
        <v>250000</v>
      </c>
    </row>
    <row r="148" spans="1:16" hidden="1" outlineLevel="2">
      <c r="A148" s="22"/>
      <c r="B148" s="28">
        <v>7439</v>
      </c>
      <c r="C148" s="29" t="s">
        <v>189</v>
      </c>
      <c r="D148" s="30">
        <f t="shared" si="110"/>
        <v>0</v>
      </c>
      <c r="E148" s="30">
        <f t="shared" si="110"/>
        <v>0</v>
      </c>
      <c r="F148" s="30">
        <f t="shared" si="107"/>
        <v>0</v>
      </c>
      <c r="G148" s="30">
        <f>N(3911000)</f>
        <v>3911000</v>
      </c>
      <c r="H148" s="30">
        <f t="shared" si="111"/>
        <v>0</v>
      </c>
      <c r="I148" s="30">
        <f t="shared" si="107"/>
        <v>0</v>
      </c>
      <c r="J148" s="30">
        <f t="shared" si="107"/>
        <v>0</v>
      </c>
      <c r="K148" s="30">
        <f t="shared" si="107"/>
        <v>0</v>
      </c>
      <c r="L148" s="30">
        <f t="shared" si="107"/>
        <v>0</v>
      </c>
      <c r="M148" s="30">
        <f t="shared" si="107"/>
        <v>0</v>
      </c>
      <c r="N148" s="30">
        <f t="shared" si="107"/>
        <v>0</v>
      </c>
      <c r="O148" s="30">
        <f t="shared" si="107"/>
        <v>0</v>
      </c>
      <c r="P148" s="169">
        <f t="shared" si="109"/>
        <v>3911000</v>
      </c>
    </row>
    <row r="149" spans="1:16" hidden="1" outlineLevel="2">
      <c r="A149" s="22"/>
      <c r="B149" s="28">
        <v>7440</v>
      </c>
      <c r="C149" s="29" t="s">
        <v>190</v>
      </c>
      <c r="D149" s="30">
        <f t="shared" si="110"/>
        <v>0</v>
      </c>
      <c r="E149" s="30">
        <f t="shared" si="110"/>
        <v>0</v>
      </c>
      <c r="F149" s="30">
        <f t="shared" si="107"/>
        <v>0</v>
      </c>
      <c r="G149" s="30">
        <f>N(38300)</f>
        <v>38300</v>
      </c>
      <c r="H149" s="30">
        <f t="shared" si="111"/>
        <v>0</v>
      </c>
      <c r="I149" s="30">
        <f t="shared" si="107"/>
        <v>0</v>
      </c>
      <c r="J149" s="30">
        <f t="shared" si="107"/>
        <v>0</v>
      </c>
      <c r="K149" s="30">
        <f t="shared" si="107"/>
        <v>0</v>
      </c>
      <c r="L149" s="30">
        <f t="shared" si="107"/>
        <v>0</v>
      </c>
      <c r="M149" s="30">
        <f t="shared" si="107"/>
        <v>0</v>
      </c>
      <c r="N149" s="30">
        <f t="shared" si="107"/>
        <v>0</v>
      </c>
      <c r="O149" s="30">
        <f t="shared" si="107"/>
        <v>0</v>
      </c>
      <c r="P149" s="169">
        <f t="shared" si="109"/>
        <v>38300</v>
      </c>
    </row>
    <row r="150" spans="1:16" hidden="1" outlineLevel="2">
      <c r="A150" s="22"/>
      <c r="B150" s="28">
        <v>7445</v>
      </c>
      <c r="C150" s="29" t="s">
        <v>191</v>
      </c>
      <c r="D150" s="30">
        <f t="shared" si="110"/>
        <v>0</v>
      </c>
      <c r="E150" s="30">
        <f t="shared" si="110"/>
        <v>0</v>
      </c>
      <c r="F150" s="30">
        <f t="shared" si="107"/>
        <v>0</v>
      </c>
      <c r="G150" s="30">
        <f t="shared" si="107"/>
        <v>0</v>
      </c>
      <c r="H150" s="30">
        <f t="shared" si="111"/>
        <v>0</v>
      </c>
      <c r="I150" s="30">
        <f t="shared" si="107"/>
        <v>0</v>
      </c>
      <c r="J150" s="30">
        <f t="shared" si="107"/>
        <v>0</v>
      </c>
      <c r="K150" s="30">
        <f>N(12000)</f>
        <v>12000</v>
      </c>
      <c r="L150" s="30">
        <f t="shared" si="107"/>
        <v>0</v>
      </c>
      <c r="M150" s="30">
        <f>N(67500)</f>
        <v>67500</v>
      </c>
      <c r="N150" s="30">
        <f t="shared" si="107"/>
        <v>0</v>
      </c>
      <c r="O150" s="30">
        <f t="shared" si="107"/>
        <v>0</v>
      </c>
      <c r="P150" s="169">
        <f t="shared" si="109"/>
        <v>79500</v>
      </c>
    </row>
    <row r="151" spans="1:16" hidden="1" outlineLevel="2">
      <c r="A151" s="22"/>
      <c r="B151" s="28">
        <v>7447</v>
      </c>
      <c r="C151" s="29" t="s">
        <v>192</v>
      </c>
      <c r="D151" s="30">
        <f t="shared" si="110"/>
        <v>0</v>
      </c>
      <c r="E151" s="30">
        <f t="shared" si="110"/>
        <v>0</v>
      </c>
      <c r="F151" s="30">
        <f t="shared" si="107"/>
        <v>0</v>
      </c>
      <c r="G151" s="30">
        <f t="shared" si="107"/>
        <v>0</v>
      </c>
      <c r="H151" s="30">
        <f t="shared" si="111"/>
        <v>0</v>
      </c>
      <c r="I151" s="30">
        <f t="shared" si="107"/>
        <v>0</v>
      </c>
      <c r="J151" s="30">
        <f t="shared" si="107"/>
        <v>0</v>
      </c>
      <c r="K151" s="30">
        <f>N(-140701)</f>
        <v>-140701</v>
      </c>
      <c r="L151" s="30">
        <f t="shared" si="107"/>
        <v>0</v>
      </c>
      <c r="M151" s="30">
        <f>N(245750)</f>
        <v>245750</v>
      </c>
      <c r="N151" s="30">
        <f t="shared" si="107"/>
        <v>0</v>
      </c>
      <c r="O151" s="30">
        <f t="shared" si="107"/>
        <v>0</v>
      </c>
      <c r="P151" s="169">
        <f t="shared" si="109"/>
        <v>105049</v>
      </c>
    </row>
    <row r="152" spans="1:16" hidden="1" outlineLevel="2">
      <c r="A152" s="22"/>
      <c r="B152" s="28">
        <v>7448</v>
      </c>
      <c r="C152" s="29" t="s">
        <v>193</v>
      </c>
      <c r="D152" s="30">
        <f>N(-200000)</f>
        <v>-200000</v>
      </c>
      <c r="E152" s="30">
        <f t="shared" si="110"/>
        <v>0</v>
      </c>
      <c r="F152" s="30">
        <f t="shared" si="107"/>
        <v>0</v>
      </c>
      <c r="G152" s="30">
        <f>N(-218500)</f>
        <v>-218500</v>
      </c>
      <c r="H152" s="30">
        <f t="shared" si="111"/>
        <v>0</v>
      </c>
      <c r="I152" s="30">
        <f t="shared" si="107"/>
        <v>0</v>
      </c>
      <c r="J152" s="30">
        <f>N(-200000)</f>
        <v>-200000</v>
      </c>
      <c r="K152" s="30">
        <f t="shared" ref="K152:K154" si="112">N(0)</f>
        <v>0</v>
      </c>
      <c r="L152" s="30">
        <f t="shared" si="107"/>
        <v>0</v>
      </c>
      <c r="M152" s="30">
        <f>N(693500)</f>
        <v>693500</v>
      </c>
      <c r="N152" s="30">
        <f t="shared" si="107"/>
        <v>0</v>
      </c>
      <c r="O152" s="30">
        <f>N(-75000)</f>
        <v>-75000</v>
      </c>
      <c r="P152" s="169">
        <f t="shared" si="109"/>
        <v>0</v>
      </c>
    </row>
    <row r="153" spans="1:16" hidden="1" outlineLevel="2">
      <c r="A153" s="22"/>
      <c r="B153" s="28">
        <v>7460</v>
      </c>
      <c r="C153" s="29" t="s">
        <v>194</v>
      </c>
      <c r="D153" s="30">
        <f t="shared" ref="D153:D154" si="113">N(0)</f>
        <v>0</v>
      </c>
      <c r="E153" s="30">
        <f t="shared" si="110"/>
        <v>0</v>
      </c>
      <c r="F153" s="30">
        <f t="shared" si="107"/>
        <v>0</v>
      </c>
      <c r="G153" s="30">
        <f t="shared" si="107"/>
        <v>0</v>
      </c>
      <c r="H153" s="30">
        <f t="shared" si="111"/>
        <v>0</v>
      </c>
      <c r="I153" s="30">
        <f t="shared" si="107"/>
        <v>0</v>
      </c>
      <c r="J153" s="30">
        <f>N(598218.04)</f>
        <v>598218.04</v>
      </c>
      <c r="K153" s="30">
        <f t="shared" si="112"/>
        <v>0</v>
      </c>
      <c r="L153" s="30">
        <f t="shared" si="107"/>
        <v>0</v>
      </c>
      <c r="M153" s="30">
        <f t="shared" si="107"/>
        <v>0</v>
      </c>
      <c r="N153" s="30">
        <f t="shared" si="107"/>
        <v>0</v>
      </c>
      <c r="O153" s="30">
        <f>N(0)</f>
        <v>0</v>
      </c>
      <c r="P153" s="169">
        <f t="shared" si="109"/>
        <v>598218.04</v>
      </c>
    </row>
    <row r="154" spans="1:16" hidden="1" outlineLevel="2">
      <c r="A154" s="22"/>
      <c r="B154" s="28">
        <v>7461</v>
      </c>
      <c r="C154" s="29" t="s">
        <v>195</v>
      </c>
      <c r="D154" s="30">
        <f t="shared" si="113"/>
        <v>0</v>
      </c>
      <c r="E154" s="30">
        <f t="shared" si="110"/>
        <v>0</v>
      </c>
      <c r="F154" s="30">
        <f t="shared" si="107"/>
        <v>0</v>
      </c>
      <c r="G154" s="30">
        <f t="shared" si="107"/>
        <v>0</v>
      </c>
      <c r="H154" s="30">
        <f t="shared" si="111"/>
        <v>0</v>
      </c>
      <c r="I154" s="30">
        <f t="shared" si="107"/>
        <v>0</v>
      </c>
      <c r="J154" s="30">
        <f>N(0)</f>
        <v>0</v>
      </c>
      <c r="K154" s="30">
        <f t="shared" si="112"/>
        <v>0</v>
      </c>
      <c r="L154" s="30">
        <f t="shared" si="107"/>
        <v>0</v>
      </c>
      <c r="M154" s="30">
        <f t="shared" si="107"/>
        <v>0</v>
      </c>
      <c r="N154" s="30">
        <f t="shared" si="107"/>
        <v>0</v>
      </c>
      <c r="O154" s="30">
        <f>N(2350142.53)</f>
        <v>2350142.5299999998</v>
      </c>
      <c r="P154" s="169">
        <f t="shared" si="109"/>
        <v>2350142.5299999998</v>
      </c>
    </row>
    <row r="155" spans="1:16" outlineLevel="1" collapsed="1">
      <c r="A155" s="22"/>
      <c r="B155" s="35" t="str">
        <f>"    "&amp;"Kontingent og bevilgninger"</f>
        <v xml:space="preserve">    Kontingent og bevilgninger</v>
      </c>
      <c r="C155" s="36"/>
      <c r="D155" s="33">
        <f t="shared" ref="D155:P155" si="114">SUM(D144:D154)</f>
        <v>-141835</v>
      </c>
      <c r="E155" s="33">
        <f t="shared" si="114"/>
        <v>49830</v>
      </c>
      <c r="F155" s="33">
        <f t="shared" si="114"/>
        <v>0</v>
      </c>
      <c r="G155" s="33">
        <f t="shared" si="114"/>
        <v>3980800</v>
      </c>
      <c r="H155" s="33">
        <f t="shared" si="114"/>
        <v>-75000</v>
      </c>
      <c r="I155" s="33">
        <f t="shared" si="114"/>
        <v>0</v>
      </c>
      <c r="J155" s="33">
        <f t="shared" si="114"/>
        <v>598218.04</v>
      </c>
      <c r="K155" s="33">
        <f t="shared" si="114"/>
        <v>-128701</v>
      </c>
      <c r="L155" s="33">
        <f t="shared" si="114"/>
        <v>0</v>
      </c>
      <c r="M155" s="33">
        <f t="shared" si="114"/>
        <v>1154703.99</v>
      </c>
      <c r="N155" s="33">
        <f t="shared" si="114"/>
        <v>6445.7</v>
      </c>
      <c r="O155" s="33">
        <f t="shared" si="114"/>
        <v>2350142.5299999998</v>
      </c>
      <c r="P155" s="170">
        <f t="shared" si="114"/>
        <v>7794604.2599999998</v>
      </c>
    </row>
    <row r="156" spans="1:16" hidden="1" outlineLevel="2">
      <c r="A156" s="22"/>
      <c r="B156" s="28">
        <v>7500</v>
      </c>
      <c r="C156" s="29" t="s">
        <v>196</v>
      </c>
      <c r="D156" s="30">
        <f t="shared" ref="D156:D157" si="115">N(0)</f>
        <v>0</v>
      </c>
      <c r="E156" s="30">
        <f>N(16658)</f>
        <v>16658</v>
      </c>
      <c r="F156" s="30">
        <f t="shared" ref="F156:H157" si="116">N(0)</f>
        <v>0</v>
      </c>
      <c r="G156" s="30">
        <f t="shared" si="116"/>
        <v>0</v>
      </c>
      <c r="H156" s="30">
        <f t="shared" si="116"/>
        <v>0</v>
      </c>
      <c r="I156" s="30">
        <f>N(92647)</f>
        <v>92647</v>
      </c>
      <c r="J156" s="30">
        <f t="shared" ref="J156:O157" si="117">N(0)</f>
        <v>0</v>
      </c>
      <c r="K156" s="30">
        <f t="shared" si="117"/>
        <v>0</v>
      </c>
      <c r="L156" s="30">
        <f t="shared" si="117"/>
        <v>0</v>
      </c>
      <c r="M156" s="30">
        <f t="shared" si="117"/>
        <v>0</v>
      </c>
      <c r="N156" s="30">
        <f t="shared" si="117"/>
        <v>0</v>
      </c>
      <c r="O156" s="30">
        <f t="shared" si="117"/>
        <v>0</v>
      </c>
      <c r="P156" s="169">
        <f>SUM(D156:O156)</f>
        <v>109305</v>
      </c>
    </row>
    <row r="157" spans="1:16" hidden="1" outlineLevel="2">
      <c r="A157" s="22"/>
      <c r="B157" s="28">
        <v>7510</v>
      </c>
      <c r="C157" s="29" t="s">
        <v>197</v>
      </c>
      <c r="D157" s="30">
        <f t="shared" si="115"/>
        <v>0</v>
      </c>
      <c r="E157" s="30">
        <f>N(0)</f>
        <v>0</v>
      </c>
      <c r="F157" s="30">
        <f t="shared" si="116"/>
        <v>0</v>
      </c>
      <c r="G157" s="30">
        <f t="shared" si="116"/>
        <v>0</v>
      </c>
      <c r="H157" s="30">
        <f t="shared" si="116"/>
        <v>0</v>
      </c>
      <c r="I157" s="30">
        <f>N(29926)</f>
        <v>29926</v>
      </c>
      <c r="J157" s="30">
        <f t="shared" si="117"/>
        <v>0</v>
      </c>
      <c r="K157" s="30">
        <f t="shared" si="117"/>
        <v>0</v>
      </c>
      <c r="L157" s="30">
        <f t="shared" si="117"/>
        <v>0</v>
      </c>
      <c r="M157" s="30">
        <f t="shared" si="117"/>
        <v>0</v>
      </c>
      <c r="N157" s="30">
        <f t="shared" si="117"/>
        <v>0</v>
      </c>
      <c r="O157" s="30">
        <f t="shared" si="117"/>
        <v>0</v>
      </c>
      <c r="P157" s="169">
        <f>SUM(D157:O157)</f>
        <v>29926</v>
      </c>
    </row>
    <row r="158" spans="1:16" outlineLevel="1" collapsed="1">
      <c r="A158" s="22"/>
      <c r="B158" s="35" t="str">
        <f>"    "&amp;"Forsikringspremie, garanti- og servicekostnad"</f>
        <v xml:space="preserve">    Forsikringspremie, garanti- og servicekostnad</v>
      </c>
      <c r="C158" s="36"/>
      <c r="D158" s="33">
        <f t="shared" ref="D158:P158" si="118">SUM(D156:D157)</f>
        <v>0</v>
      </c>
      <c r="E158" s="33">
        <f t="shared" si="118"/>
        <v>16658</v>
      </c>
      <c r="F158" s="33">
        <f t="shared" si="118"/>
        <v>0</v>
      </c>
      <c r="G158" s="33">
        <f t="shared" si="118"/>
        <v>0</v>
      </c>
      <c r="H158" s="33">
        <f t="shared" si="118"/>
        <v>0</v>
      </c>
      <c r="I158" s="33">
        <f t="shared" si="118"/>
        <v>122573</v>
      </c>
      <c r="J158" s="33">
        <f t="shared" si="118"/>
        <v>0</v>
      </c>
      <c r="K158" s="33">
        <f t="shared" si="118"/>
        <v>0</v>
      </c>
      <c r="L158" s="33">
        <f t="shared" si="118"/>
        <v>0</v>
      </c>
      <c r="M158" s="33">
        <f t="shared" si="118"/>
        <v>0</v>
      </c>
      <c r="N158" s="33">
        <f t="shared" si="118"/>
        <v>0</v>
      </c>
      <c r="O158" s="33">
        <f t="shared" si="118"/>
        <v>0</v>
      </c>
      <c r="P158" s="170">
        <f t="shared" si="118"/>
        <v>139231</v>
      </c>
    </row>
    <row r="159" spans="1:16" hidden="1" outlineLevel="2">
      <c r="A159" s="22"/>
      <c r="B159" s="28">
        <v>7700</v>
      </c>
      <c r="C159" s="29" t="s">
        <v>199</v>
      </c>
      <c r="D159" s="30">
        <f>N(1100)</f>
        <v>1100</v>
      </c>
      <c r="E159" s="30">
        <f>N(170028.3)</f>
        <v>170028.3</v>
      </c>
      <c r="F159" s="30">
        <f t="shared" ref="F159:K164" si="119">N(0)</f>
        <v>0</v>
      </c>
      <c r="G159" s="30">
        <f t="shared" si="119"/>
        <v>0</v>
      </c>
      <c r="H159" s="30">
        <f t="shared" si="119"/>
        <v>0</v>
      </c>
      <c r="I159" s="30">
        <f t="shared" si="119"/>
        <v>0</v>
      </c>
      <c r="J159" s="30">
        <f t="shared" si="119"/>
        <v>0</v>
      </c>
      <c r="K159" s="30">
        <f>N(24961.7)</f>
        <v>24961.7</v>
      </c>
      <c r="L159" s="30">
        <f t="shared" ref="L159:M164" si="120">N(0)</f>
        <v>0</v>
      </c>
      <c r="M159" s="30">
        <f>N(200072)</f>
        <v>200072</v>
      </c>
      <c r="N159" s="30">
        <f>N(330909.6)</f>
        <v>330909.59999999998</v>
      </c>
      <c r="O159" s="30">
        <f t="shared" ref="O159:O164" si="121">N(0)</f>
        <v>0</v>
      </c>
      <c r="P159" s="169">
        <f t="shared" ref="P159:P164" si="122">SUM(D159:O159)</f>
        <v>727071.6</v>
      </c>
    </row>
    <row r="160" spans="1:16" hidden="1" outlineLevel="2">
      <c r="A160" s="22"/>
      <c r="B160" s="28">
        <v>7710</v>
      </c>
      <c r="C160" s="29" t="s">
        <v>200</v>
      </c>
      <c r="D160" s="30">
        <f t="shared" ref="D160:D161" si="123">N(0)</f>
        <v>0</v>
      </c>
      <c r="E160" s="30">
        <f>N(0)</f>
        <v>0</v>
      </c>
      <c r="F160" s="30">
        <f t="shared" si="119"/>
        <v>0</v>
      </c>
      <c r="G160" s="30">
        <f t="shared" si="119"/>
        <v>0</v>
      </c>
      <c r="H160" s="30">
        <f t="shared" si="119"/>
        <v>0</v>
      </c>
      <c r="I160" s="30">
        <f t="shared" si="119"/>
        <v>0</v>
      </c>
      <c r="J160" s="30">
        <f t="shared" si="119"/>
        <v>0</v>
      </c>
      <c r="K160" s="30">
        <f t="shared" si="119"/>
        <v>0</v>
      </c>
      <c r="L160" s="30">
        <f t="shared" si="120"/>
        <v>0</v>
      </c>
      <c r="M160" s="30">
        <f>N(64810.8)</f>
        <v>64810.8</v>
      </c>
      <c r="N160" s="30">
        <f>N(0)</f>
        <v>0</v>
      </c>
      <c r="O160" s="30">
        <f t="shared" si="121"/>
        <v>0</v>
      </c>
      <c r="P160" s="169">
        <f t="shared" si="122"/>
        <v>64810.8</v>
      </c>
    </row>
    <row r="161" spans="1:16" hidden="1" outlineLevel="2">
      <c r="A161" s="22"/>
      <c r="B161" s="28">
        <v>7720</v>
      </c>
      <c r="C161" s="29" t="s">
        <v>201</v>
      </c>
      <c r="D161" s="30">
        <f t="shared" si="123"/>
        <v>0</v>
      </c>
      <c r="E161" s="30">
        <f>N(333)</f>
        <v>333</v>
      </c>
      <c r="F161" s="30">
        <f t="shared" si="119"/>
        <v>0</v>
      </c>
      <c r="G161" s="30">
        <f t="shared" si="119"/>
        <v>0</v>
      </c>
      <c r="H161" s="30">
        <f>N(392507.24)</f>
        <v>392507.24</v>
      </c>
      <c r="I161" s="30">
        <f t="shared" si="119"/>
        <v>0</v>
      </c>
      <c r="J161" s="30">
        <f t="shared" si="119"/>
        <v>0</v>
      </c>
      <c r="K161" s="30">
        <f t="shared" si="119"/>
        <v>0</v>
      </c>
      <c r="L161" s="30">
        <f t="shared" si="120"/>
        <v>0</v>
      </c>
      <c r="M161" s="30">
        <f t="shared" si="120"/>
        <v>0</v>
      </c>
      <c r="N161" s="30">
        <f>N(28792.45)</f>
        <v>28792.45</v>
      </c>
      <c r="O161" s="30">
        <f t="shared" si="121"/>
        <v>0</v>
      </c>
      <c r="P161" s="169">
        <f t="shared" si="122"/>
        <v>421632.69</v>
      </c>
    </row>
    <row r="162" spans="1:16" hidden="1" outlineLevel="2">
      <c r="A162" s="22"/>
      <c r="B162" s="28">
        <v>7770</v>
      </c>
      <c r="C162" s="29" t="s">
        <v>202</v>
      </c>
      <c r="D162" s="30">
        <f>N(0.53)</f>
        <v>0.53</v>
      </c>
      <c r="E162" s="30">
        <f>N(39585.1)</f>
        <v>39585.1</v>
      </c>
      <c r="F162" s="30">
        <f t="shared" si="119"/>
        <v>0</v>
      </c>
      <c r="G162" s="30">
        <f t="shared" si="119"/>
        <v>0</v>
      </c>
      <c r="H162" s="30">
        <f>N(12809.55)</f>
        <v>12809.55</v>
      </c>
      <c r="I162" s="30">
        <f t="shared" si="119"/>
        <v>0</v>
      </c>
      <c r="J162" s="30">
        <f t="shared" si="119"/>
        <v>0</v>
      </c>
      <c r="K162" s="30">
        <f t="shared" si="119"/>
        <v>0</v>
      </c>
      <c r="L162" s="30">
        <f t="shared" si="120"/>
        <v>0</v>
      </c>
      <c r="M162" s="30">
        <f t="shared" si="120"/>
        <v>0</v>
      </c>
      <c r="N162" s="30">
        <f>N(861)</f>
        <v>861</v>
      </c>
      <c r="O162" s="30">
        <f t="shared" si="121"/>
        <v>0</v>
      </c>
      <c r="P162" s="169">
        <f t="shared" si="122"/>
        <v>53256.179999999993</v>
      </c>
    </row>
    <row r="163" spans="1:16" hidden="1" outlineLevel="2">
      <c r="A163" s="22"/>
      <c r="B163" s="28">
        <v>7790</v>
      </c>
      <c r="C163" s="29" t="s">
        <v>204</v>
      </c>
      <c r="D163" s="30">
        <f>N(7103.64)</f>
        <v>7103.64</v>
      </c>
      <c r="E163" s="30">
        <f>N(-38.05)</f>
        <v>-38.049999999999997</v>
      </c>
      <c r="F163" s="30">
        <f t="shared" si="119"/>
        <v>0</v>
      </c>
      <c r="G163" s="30">
        <f t="shared" si="119"/>
        <v>0</v>
      </c>
      <c r="H163" s="30">
        <f>N(0)</f>
        <v>0</v>
      </c>
      <c r="I163" s="30">
        <f t="shared" si="119"/>
        <v>0</v>
      </c>
      <c r="J163" s="30">
        <f t="shared" si="119"/>
        <v>0</v>
      </c>
      <c r="K163" s="30">
        <f t="shared" si="119"/>
        <v>0</v>
      </c>
      <c r="L163" s="30">
        <f t="shared" si="120"/>
        <v>0</v>
      </c>
      <c r="M163" s="30">
        <f t="shared" si="120"/>
        <v>0</v>
      </c>
      <c r="N163" s="30">
        <f>N(3595)</f>
        <v>3595</v>
      </c>
      <c r="O163" s="30">
        <f t="shared" si="121"/>
        <v>0</v>
      </c>
      <c r="P163" s="169">
        <f t="shared" si="122"/>
        <v>10660.59</v>
      </c>
    </row>
    <row r="164" spans="1:16" hidden="1" outlineLevel="2">
      <c r="A164" s="22"/>
      <c r="B164" s="28">
        <v>7792</v>
      </c>
      <c r="C164" s="29" t="s">
        <v>206</v>
      </c>
      <c r="D164" s="30">
        <f>N(2800)</f>
        <v>2800</v>
      </c>
      <c r="E164" s="30">
        <f>N(11101.8)</f>
        <v>11101.8</v>
      </c>
      <c r="F164" s="30">
        <f t="shared" si="119"/>
        <v>0</v>
      </c>
      <c r="G164" s="30">
        <f t="shared" si="119"/>
        <v>0</v>
      </c>
      <c r="H164" s="30">
        <f>N(460)</f>
        <v>460</v>
      </c>
      <c r="I164" s="30">
        <f t="shared" si="119"/>
        <v>0</v>
      </c>
      <c r="J164" s="30">
        <f t="shared" si="119"/>
        <v>0</v>
      </c>
      <c r="K164" s="30">
        <f>N(1178)</f>
        <v>1178</v>
      </c>
      <c r="L164" s="30">
        <f t="shared" si="120"/>
        <v>0</v>
      </c>
      <c r="M164" s="30">
        <f>N(18761.2)</f>
        <v>18761.2</v>
      </c>
      <c r="N164" s="30">
        <f>N(0)</f>
        <v>0</v>
      </c>
      <c r="O164" s="30">
        <f t="shared" si="121"/>
        <v>0</v>
      </c>
      <c r="P164" s="169">
        <f t="shared" si="122"/>
        <v>34301</v>
      </c>
    </row>
    <row r="165" spans="1:16" outlineLevel="1" collapsed="1">
      <c r="A165" s="22"/>
      <c r="B165" s="35" t="str">
        <f>"    "&amp;"Annen kostnad"</f>
        <v xml:space="preserve">    Annen kostnad</v>
      </c>
      <c r="C165" s="36"/>
      <c r="D165" s="33">
        <f t="shared" ref="D165:P165" si="124">SUM(D159:D164)</f>
        <v>11004.17</v>
      </c>
      <c r="E165" s="33">
        <f t="shared" si="124"/>
        <v>221010.15</v>
      </c>
      <c r="F165" s="33">
        <f t="shared" si="124"/>
        <v>0</v>
      </c>
      <c r="G165" s="33">
        <f t="shared" si="124"/>
        <v>0</v>
      </c>
      <c r="H165" s="33">
        <f t="shared" si="124"/>
        <v>405776.79</v>
      </c>
      <c r="I165" s="33">
        <f t="shared" si="124"/>
        <v>0</v>
      </c>
      <c r="J165" s="33">
        <f t="shared" si="124"/>
        <v>0</v>
      </c>
      <c r="K165" s="33">
        <f t="shared" si="124"/>
        <v>26139.7</v>
      </c>
      <c r="L165" s="33">
        <f t="shared" si="124"/>
        <v>0</v>
      </c>
      <c r="M165" s="33">
        <f t="shared" si="124"/>
        <v>283644</v>
      </c>
      <c r="N165" s="33">
        <f t="shared" si="124"/>
        <v>364158.05</v>
      </c>
      <c r="O165" s="33">
        <f t="shared" si="124"/>
        <v>0</v>
      </c>
      <c r="P165" s="170">
        <f t="shared" si="124"/>
        <v>1311732.8600000001</v>
      </c>
    </row>
    <row r="166" spans="1:16" hidden="1" outlineLevel="2">
      <c r="A166" s="22"/>
      <c r="B166" s="28">
        <v>7830</v>
      </c>
      <c r="C166" s="29" t="s">
        <v>207</v>
      </c>
      <c r="D166" s="30">
        <f t="shared" ref="D166:H167" si="125">N(0)</f>
        <v>0</v>
      </c>
      <c r="E166" s="30">
        <f t="shared" si="125"/>
        <v>0</v>
      </c>
      <c r="F166" s="30">
        <f t="shared" si="125"/>
        <v>0</v>
      </c>
      <c r="G166" s="30">
        <f t="shared" si="125"/>
        <v>0</v>
      </c>
      <c r="H166" s="30">
        <f t="shared" si="125"/>
        <v>0</v>
      </c>
      <c r="I166" s="30">
        <f>N(178621.51)</f>
        <v>178621.51</v>
      </c>
      <c r="J166" s="30">
        <f t="shared" ref="J166:O167" si="126">N(0)</f>
        <v>0</v>
      </c>
      <c r="K166" s="30">
        <f t="shared" si="126"/>
        <v>0</v>
      </c>
      <c r="L166" s="30">
        <f t="shared" si="126"/>
        <v>0</v>
      </c>
      <c r="M166" s="30">
        <f t="shared" si="126"/>
        <v>0</v>
      </c>
      <c r="N166" s="30">
        <f t="shared" si="126"/>
        <v>0</v>
      </c>
      <c r="O166" s="30">
        <f t="shared" si="126"/>
        <v>0</v>
      </c>
      <c r="P166" s="169">
        <f>SUM(D166:O166)</f>
        <v>178621.51</v>
      </c>
    </row>
    <row r="167" spans="1:16" hidden="1" outlineLevel="2">
      <c r="A167" s="22"/>
      <c r="B167" s="28">
        <v>7831</v>
      </c>
      <c r="C167" s="29" t="s">
        <v>208</v>
      </c>
      <c r="D167" s="30">
        <f t="shared" si="125"/>
        <v>0</v>
      </c>
      <c r="E167" s="30">
        <f>N(-6473.51)</f>
        <v>-6473.51</v>
      </c>
      <c r="F167" s="30">
        <f t="shared" si="125"/>
        <v>0</v>
      </c>
      <c r="G167" s="30">
        <f t="shared" si="125"/>
        <v>0</v>
      </c>
      <c r="H167" s="30">
        <f t="shared" si="125"/>
        <v>0</v>
      </c>
      <c r="I167" s="30">
        <f>N(-188988.22)</f>
        <v>-188988.22</v>
      </c>
      <c r="J167" s="30">
        <f t="shared" si="126"/>
        <v>0</v>
      </c>
      <c r="K167" s="30">
        <f t="shared" si="126"/>
        <v>0</v>
      </c>
      <c r="L167" s="30">
        <f t="shared" si="126"/>
        <v>0</v>
      </c>
      <c r="M167" s="30">
        <f t="shared" si="126"/>
        <v>0</v>
      </c>
      <c r="N167" s="30">
        <f t="shared" si="126"/>
        <v>0</v>
      </c>
      <c r="O167" s="30">
        <f t="shared" si="126"/>
        <v>0</v>
      </c>
      <c r="P167" s="169">
        <f>SUM(D167:O167)</f>
        <v>-195461.73</v>
      </c>
    </row>
    <row r="168" spans="1:16" outlineLevel="1" collapsed="1">
      <c r="A168" s="22"/>
      <c r="B168" s="35" t="str">
        <f>"    "&amp;"Tap o.l."</f>
        <v xml:space="preserve">    Tap o.l.</v>
      </c>
      <c r="C168" s="36"/>
      <c r="D168" s="33">
        <f t="shared" ref="D168:P168" si="127">SUM(D166:D167)</f>
        <v>0</v>
      </c>
      <c r="E168" s="33">
        <f t="shared" si="127"/>
        <v>-6473.51</v>
      </c>
      <c r="F168" s="33">
        <f t="shared" si="127"/>
        <v>0</v>
      </c>
      <c r="G168" s="33">
        <f t="shared" si="127"/>
        <v>0</v>
      </c>
      <c r="H168" s="33">
        <f t="shared" si="127"/>
        <v>0</v>
      </c>
      <c r="I168" s="33">
        <f t="shared" si="127"/>
        <v>-10366.709999999992</v>
      </c>
      <c r="J168" s="33">
        <f t="shared" si="127"/>
        <v>0</v>
      </c>
      <c r="K168" s="33">
        <f t="shared" si="127"/>
        <v>0</v>
      </c>
      <c r="L168" s="33">
        <f t="shared" si="127"/>
        <v>0</v>
      </c>
      <c r="M168" s="33">
        <f t="shared" si="127"/>
        <v>0</v>
      </c>
      <c r="N168" s="33">
        <f t="shared" si="127"/>
        <v>0</v>
      </c>
      <c r="O168" s="33">
        <f t="shared" si="127"/>
        <v>0</v>
      </c>
      <c r="P168" s="170">
        <f t="shared" si="127"/>
        <v>-16840.22</v>
      </c>
    </row>
    <row r="169" spans="1:16">
      <c r="A169" s="22"/>
      <c r="B169" s="41" t="s">
        <v>18</v>
      </c>
      <c r="C169" s="42"/>
      <c r="D169" s="44">
        <f ca="1">SUM(OSRRefD13_2x_0)</f>
        <v>10138403.1</v>
      </c>
      <c r="E169" s="44">
        <f ca="1">SUM(OSRRefD13_2x_1)</f>
        <v>2761643.0999999996</v>
      </c>
      <c r="F169" s="44">
        <f ca="1">SUM(OSRRefD13_2x_2)</f>
        <v>0</v>
      </c>
      <c r="G169" s="44">
        <f ca="1">SUM(OSRRefD13_2x_3)</f>
        <v>3980800</v>
      </c>
      <c r="H169" s="44">
        <f ca="1">SUM(OSRRefD13_2x_4)</f>
        <v>508830.69999999995</v>
      </c>
      <c r="I169" s="44">
        <f ca="1">SUM(OSRRefD13_2x_5)</f>
        <v>973341.28</v>
      </c>
      <c r="J169" s="44">
        <f ca="1">SUM(OSRRefD13_2x_12)</f>
        <v>598218.04</v>
      </c>
      <c r="K169" s="44">
        <f ca="1">SUM(OSRRefD13_2x_13)</f>
        <v>363644.46</v>
      </c>
      <c r="L169" s="44">
        <f ca="1">SUM(OSRRefD13_2x_14)</f>
        <v>0</v>
      </c>
      <c r="M169" s="44">
        <f ca="1">SUM(OSRRefD13_2x_15)</f>
        <v>1769617</v>
      </c>
      <c r="N169" s="44">
        <f ca="1">SUM(OSRRefD13_2x_16)</f>
        <v>954526.82999999984</v>
      </c>
      <c r="O169" s="44">
        <f ca="1">SUM(OSRRefD13_2x_17)</f>
        <v>2350142.5299999998</v>
      </c>
      <c r="P169" s="171">
        <f ca="1">SUM(OSRRefE13_2x)</f>
        <v>24399167.039999999</v>
      </c>
    </row>
    <row r="170" spans="1:16">
      <c r="A170" s="22"/>
      <c r="B170" s="48" t="s">
        <v>349</v>
      </c>
      <c r="C170" s="172"/>
      <c r="D170" s="51">
        <f ca="1">SUM(OSRRefD14x_0)</f>
        <v>15692641.530000001</v>
      </c>
      <c r="E170" s="51">
        <f ca="1">SUM(OSRRefD14x_1)</f>
        <v>8092794.1999999993</v>
      </c>
      <c r="F170" s="51">
        <f ca="1">SUM(OSRRefD14x_2)</f>
        <v>0</v>
      </c>
      <c r="G170" s="51">
        <f ca="1">SUM(OSRRefD14x_3)</f>
        <v>3980800</v>
      </c>
      <c r="H170" s="51">
        <f ca="1">SUM(OSRRefD14x_4)</f>
        <v>723549.25</v>
      </c>
      <c r="I170" s="51">
        <f ca="1">SUM(OSRRefD14x_5)</f>
        <v>973341.28</v>
      </c>
      <c r="J170" s="51">
        <f t="shared" ref="J170:O170" ca="1" si="128">SUM(J41,J94,J169)</f>
        <v>598218.04</v>
      </c>
      <c r="K170" s="51">
        <f t="shared" ca="1" si="128"/>
        <v>2715093.44</v>
      </c>
      <c r="L170" s="51">
        <f t="shared" ca="1" si="128"/>
        <v>184002.86</v>
      </c>
      <c r="M170" s="51">
        <f t="shared" ca="1" si="128"/>
        <v>2707167.44</v>
      </c>
      <c r="N170" s="51">
        <f t="shared" ca="1" si="128"/>
        <v>2658897.79</v>
      </c>
      <c r="O170" s="51">
        <f t="shared" ca="1" si="128"/>
        <v>2350142.5299999998</v>
      </c>
      <c r="P170" s="173">
        <f ca="1">SUM(OSRRefE14x)</f>
        <v>40676648.359999999</v>
      </c>
    </row>
    <row r="171" spans="1:16" ht="9.75" customHeight="1">
      <c r="B171" s="57"/>
      <c r="C171" s="24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174"/>
    </row>
    <row r="172" spans="1:16" ht="15.6">
      <c r="B172" s="64" t="s">
        <v>209</v>
      </c>
      <c r="C172" s="65"/>
      <c r="D172" s="67">
        <f t="shared" ref="D172:P172" ca="1" si="129">SUM(D37)-SUM(D170)</f>
        <v>703347.02999999747</v>
      </c>
      <c r="E172" s="67">
        <f t="shared" ca="1" si="129"/>
        <v>1306296.3600000013</v>
      </c>
      <c r="F172" s="67">
        <f t="shared" ca="1" si="129"/>
        <v>0</v>
      </c>
      <c r="G172" s="67">
        <f t="shared" ca="1" si="129"/>
        <v>703208.55999999959</v>
      </c>
      <c r="H172" s="67">
        <f t="shared" ca="1" si="129"/>
        <v>-253314.15000000002</v>
      </c>
      <c r="I172" s="67">
        <f t="shared" ca="1" si="129"/>
        <v>128114.92999999993</v>
      </c>
      <c r="J172" s="67">
        <f t="shared" ca="1" si="129"/>
        <v>-0.18000000005122274</v>
      </c>
      <c r="K172" s="67">
        <f t="shared" ca="1" si="129"/>
        <v>219832.37999999989</v>
      </c>
      <c r="L172" s="67">
        <f t="shared" ca="1" si="129"/>
        <v>29646.390000000014</v>
      </c>
      <c r="M172" s="67">
        <f t="shared" ca="1" si="129"/>
        <v>-442485.5</v>
      </c>
      <c r="N172" s="67">
        <f t="shared" ca="1" si="129"/>
        <v>540702.21</v>
      </c>
      <c r="O172" s="67">
        <f t="shared" ca="1" si="129"/>
        <v>-0.87999999942258</v>
      </c>
      <c r="P172" s="175">
        <f t="shared" ca="1" si="129"/>
        <v>2935347.1499999911</v>
      </c>
    </row>
    <row r="173" spans="1:16">
      <c r="B173" s="27"/>
      <c r="C173" s="24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168"/>
    </row>
    <row r="174" spans="1:16" hidden="1" outlineLevel="2">
      <c r="A174" s="22"/>
      <c r="B174" s="28">
        <v>8050</v>
      </c>
      <c r="C174" s="29" t="s">
        <v>210</v>
      </c>
      <c r="D174" s="30">
        <f>-N(-13.38)</f>
        <v>13.38</v>
      </c>
      <c r="E174" s="30">
        <f>-N(-321091.1)</f>
        <v>321091.09999999998</v>
      </c>
      <c r="F174" s="30">
        <f t="shared" ref="F174:G176" si="130">-N(0)</f>
        <v>0</v>
      </c>
      <c r="G174" s="30">
        <f>-N(-534938.17)</f>
        <v>534938.17000000004</v>
      </c>
      <c r="H174" s="30">
        <f t="shared" ref="H174:O176" si="131">-N(0)</f>
        <v>0</v>
      </c>
      <c r="I174" s="30">
        <f t="shared" si="131"/>
        <v>0</v>
      </c>
      <c r="J174" s="30">
        <f t="shared" si="131"/>
        <v>0</v>
      </c>
      <c r="K174" s="30">
        <f t="shared" si="131"/>
        <v>0</v>
      </c>
      <c r="L174" s="30">
        <f t="shared" si="131"/>
        <v>0</v>
      </c>
      <c r="M174" s="30">
        <f t="shared" si="131"/>
        <v>0</v>
      </c>
      <c r="N174" s="30">
        <f t="shared" si="131"/>
        <v>0</v>
      </c>
      <c r="O174" s="30">
        <f t="shared" si="131"/>
        <v>0</v>
      </c>
      <c r="P174" s="169">
        <f>SUM(D174:O174)</f>
        <v>856042.65</v>
      </c>
    </row>
    <row r="175" spans="1:16" hidden="1" outlineLevel="2">
      <c r="A175" s="22"/>
      <c r="B175" s="28">
        <v>8060</v>
      </c>
      <c r="C175" s="29" t="s">
        <v>211</v>
      </c>
      <c r="D175" s="30">
        <f>-N(-10099)</f>
        <v>10099</v>
      </c>
      <c r="E175" s="30">
        <f>-N(-440.76)</f>
        <v>440.76</v>
      </c>
      <c r="F175" s="30">
        <f t="shared" si="130"/>
        <v>0</v>
      </c>
      <c r="G175" s="30">
        <f t="shared" si="130"/>
        <v>0</v>
      </c>
      <c r="H175" s="30">
        <f t="shared" si="131"/>
        <v>0</v>
      </c>
      <c r="I175" s="30">
        <f t="shared" si="131"/>
        <v>0</v>
      </c>
      <c r="J175" s="30">
        <f t="shared" si="131"/>
        <v>0</v>
      </c>
      <c r="K175" s="30">
        <f t="shared" si="131"/>
        <v>0</v>
      </c>
      <c r="L175" s="30">
        <f t="shared" si="131"/>
        <v>0</v>
      </c>
      <c r="M175" s="30">
        <f t="shared" si="131"/>
        <v>0</v>
      </c>
      <c r="N175" s="30">
        <f t="shared" si="131"/>
        <v>0</v>
      </c>
      <c r="O175" s="30">
        <f t="shared" si="131"/>
        <v>0</v>
      </c>
      <c r="P175" s="169">
        <f>SUM(D175:O175)</f>
        <v>10539.76</v>
      </c>
    </row>
    <row r="176" spans="1:16" hidden="1" outlineLevel="2">
      <c r="A176" s="22"/>
      <c r="B176" s="28">
        <v>8071</v>
      </c>
      <c r="C176" s="29" t="s">
        <v>212</v>
      </c>
      <c r="D176" s="30">
        <f>-N(0)</f>
        <v>0</v>
      </c>
      <c r="E176" s="30">
        <f>-N(-291560.05)</f>
        <v>291560.05</v>
      </c>
      <c r="F176" s="30">
        <f t="shared" si="130"/>
        <v>0</v>
      </c>
      <c r="G176" s="30">
        <f t="shared" si="130"/>
        <v>0</v>
      </c>
      <c r="H176" s="30">
        <f t="shared" si="131"/>
        <v>0</v>
      </c>
      <c r="I176" s="30">
        <f t="shared" si="131"/>
        <v>0</v>
      </c>
      <c r="J176" s="30">
        <f t="shared" si="131"/>
        <v>0</v>
      </c>
      <c r="K176" s="30">
        <f t="shared" si="131"/>
        <v>0</v>
      </c>
      <c r="L176" s="30">
        <f t="shared" si="131"/>
        <v>0</v>
      </c>
      <c r="M176" s="30">
        <f t="shared" si="131"/>
        <v>0</v>
      </c>
      <c r="N176" s="30">
        <f t="shared" si="131"/>
        <v>0</v>
      </c>
      <c r="O176" s="30">
        <f t="shared" si="131"/>
        <v>0</v>
      </c>
      <c r="P176" s="169">
        <f>SUM(D176:O176)</f>
        <v>291560.05</v>
      </c>
    </row>
    <row r="177" spans="1:16" outlineLevel="1" collapsed="1">
      <c r="A177" s="22"/>
      <c r="B177" s="35" t="str">
        <f>"    "&amp;"Finansinntekt"</f>
        <v xml:space="preserve">    Finansinntekt</v>
      </c>
      <c r="C177" s="36"/>
      <c r="D177" s="33">
        <f t="shared" ref="D177:P177" si="132">SUM(D174:D176)</f>
        <v>10112.379999999999</v>
      </c>
      <c r="E177" s="33">
        <f t="shared" si="132"/>
        <v>613091.90999999992</v>
      </c>
      <c r="F177" s="33">
        <f t="shared" si="132"/>
        <v>0</v>
      </c>
      <c r="G177" s="33">
        <f t="shared" si="132"/>
        <v>534938.17000000004</v>
      </c>
      <c r="H177" s="33">
        <f t="shared" si="132"/>
        <v>0</v>
      </c>
      <c r="I177" s="33">
        <f t="shared" si="132"/>
        <v>0</v>
      </c>
      <c r="J177" s="33">
        <f t="shared" si="132"/>
        <v>0</v>
      </c>
      <c r="K177" s="33">
        <f t="shared" si="132"/>
        <v>0</v>
      </c>
      <c r="L177" s="33">
        <f t="shared" si="132"/>
        <v>0</v>
      </c>
      <c r="M177" s="33">
        <f t="shared" si="132"/>
        <v>0</v>
      </c>
      <c r="N177" s="33">
        <f t="shared" si="132"/>
        <v>0</v>
      </c>
      <c r="O177" s="33">
        <f t="shared" si="132"/>
        <v>0</v>
      </c>
      <c r="P177" s="170">
        <f t="shared" si="132"/>
        <v>1158142.46</v>
      </c>
    </row>
    <row r="178" spans="1:16">
      <c r="A178" s="22"/>
      <c r="B178" s="41" t="s">
        <v>216</v>
      </c>
      <c r="C178" s="42"/>
      <c r="D178" s="44">
        <f t="shared" ref="D178:P178" si="133">SUM(D177)</f>
        <v>10112.379999999999</v>
      </c>
      <c r="E178" s="44">
        <f t="shared" si="133"/>
        <v>613091.90999999992</v>
      </c>
      <c r="F178" s="44">
        <f t="shared" si="133"/>
        <v>0</v>
      </c>
      <c r="G178" s="44">
        <f t="shared" si="133"/>
        <v>534938.17000000004</v>
      </c>
      <c r="H178" s="44">
        <f t="shared" si="133"/>
        <v>0</v>
      </c>
      <c r="I178" s="44">
        <f t="shared" si="133"/>
        <v>0</v>
      </c>
      <c r="J178" s="44">
        <f t="shared" si="133"/>
        <v>0</v>
      </c>
      <c r="K178" s="44">
        <f t="shared" si="133"/>
        <v>0</v>
      </c>
      <c r="L178" s="44">
        <f t="shared" si="133"/>
        <v>0</v>
      </c>
      <c r="M178" s="44">
        <f t="shared" si="133"/>
        <v>0</v>
      </c>
      <c r="N178" s="44">
        <f t="shared" si="133"/>
        <v>0</v>
      </c>
      <c r="O178" s="44">
        <f t="shared" si="133"/>
        <v>0</v>
      </c>
      <c r="P178" s="171">
        <f t="shared" si="133"/>
        <v>1158142.46</v>
      </c>
    </row>
    <row r="179" spans="1:16" hidden="1" outlineLevel="2">
      <c r="A179" s="22"/>
      <c r="B179" s="28">
        <v>8100</v>
      </c>
      <c r="C179" s="29" t="s">
        <v>218</v>
      </c>
      <c r="D179" s="30">
        <f t="shared" ref="D179:D180" si="134">N(0)</f>
        <v>0</v>
      </c>
      <c r="E179" s="30">
        <f>N(241039.32)</f>
        <v>241039.32</v>
      </c>
      <c r="F179" s="30">
        <f t="shared" ref="F179:G183" si="135">N(0)</f>
        <v>0</v>
      </c>
      <c r="G179" s="30">
        <f>N(498031.81)</f>
        <v>498031.81</v>
      </c>
      <c r="H179" s="30">
        <f t="shared" ref="H179:O183" si="136">N(0)</f>
        <v>0</v>
      </c>
      <c r="I179" s="30">
        <f t="shared" si="136"/>
        <v>0</v>
      </c>
      <c r="J179" s="30">
        <f t="shared" si="136"/>
        <v>0</v>
      </c>
      <c r="K179" s="30">
        <f t="shared" si="136"/>
        <v>0</v>
      </c>
      <c r="L179" s="30">
        <f t="shared" si="136"/>
        <v>0</v>
      </c>
      <c r="M179" s="30">
        <f t="shared" si="136"/>
        <v>0</v>
      </c>
      <c r="N179" s="30">
        <f t="shared" si="136"/>
        <v>0</v>
      </c>
      <c r="O179" s="30">
        <f t="shared" si="136"/>
        <v>0</v>
      </c>
      <c r="P179" s="169">
        <f>SUM(D179:O179)</f>
        <v>739071.13</v>
      </c>
    </row>
    <row r="180" spans="1:16" hidden="1" outlineLevel="2">
      <c r="A180" s="22"/>
      <c r="B180" s="28">
        <v>8130</v>
      </c>
      <c r="C180" s="29" t="s">
        <v>220</v>
      </c>
      <c r="D180" s="30">
        <f t="shared" si="134"/>
        <v>0</v>
      </c>
      <c r="E180" s="30">
        <f>N(0)</f>
        <v>0</v>
      </c>
      <c r="F180" s="30">
        <f t="shared" si="135"/>
        <v>0</v>
      </c>
      <c r="G180" s="30">
        <f t="shared" si="135"/>
        <v>0</v>
      </c>
      <c r="H180" s="30">
        <f t="shared" si="136"/>
        <v>0</v>
      </c>
      <c r="I180" s="30">
        <f t="shared" si="136"/>
        <v>0</v>
      </c>
      <c r="J180" s="30">
        <f t="shared" si="136"/>
        <v>0</v>
      </c>
      <c r="K180" s="30">
        <f t="shared" si="136"/>
        <v>0</v>
      </c>
      <c r="L180" s="30">
        <f t="shared" si="136"/>
        <v>0</v>
      </c>
      <c r="M180" s="30">
        <f t="shared" si="136"/>
        <v>0</v>
      </c>
      <c r="N180" s="30">
        <f t="shared" si="136"/>
        <v>0</v>
      </c>
      <c r="O180" s="30">
        <f t="shared" si="136"/>
        <v>0</v>
      </c>
      <c r="P180" s="169">
        <f>SUM(D180:O180)</f>
        <v>0</v>
      </c>
    </row>
    <row r="181" spans="1:16" hidden="1" outlineLevel="2">
      <c r="A181" s="22"/>
      <c r="B181" s="28">
        <v>8150</v>
      </c>
      <c r="C181" s="29" t="s">
        <v>221</v>
      </c>
      <c r="D181" s="30">
        <f>N(352)</f>
        <v>352</v>
      </c>
      <c r="E181" s="30">
        <f>N(2927)</f>
        <v>2927</v>
      </c>
      <c r="F181" s="30">
        <f t="shared" si="135"/>
        <v>0</v>
      </c>
      <c r="G181" s="30">
        <f t="shared" si="135"/>
        <v>0</v>
      </c>
      <c r="H181" s="30">
        <f t="shared" si="136"/>
        <v>0</v>
      </c>
      <c r="I181" s="30">
        <f t="shared" si="136"/>
        <v>0</v>
      </c>
      <c r="J181" s="30">
        <f t="shared" si="136"/>
        <v>0</v>
      </c>
      <c r="K181" s="30">
        <f t="shared" si="136"/>
        <v>0</v>
      </c>
      <c r="L181" s="30">
        <f t="shared" si="136"/>
        <v>0</v>
      </c>
      <c r="M181" s="30">
        <f t="shared" si="136"/>
        <v>0</v>
      </c>
      <c r="N181" s="30">
        <f t="shared" si="136"/>
        <v>0</v>
      </c>
      <c r="O181" s="30">
        <f t="shared" si="136"/>
        <v>0</v>
      </c>
      <c r="P181" s="169">
        <f>SUM(D181:O181)</f>
        <v>3279</v>
      </c>
    </row>
    <row r="182" spans="1:16" hidden="1" outlineLevel="2">
      <c r="A182" s="22"/>
      <c r="B182" s="28">
        <v>8155</v>
      </c>
      <c r="C182" s="29" t="s">
        <v>222</v>
      </c>
      <c r="D182" s="30">
        <f>N(0)</f>
        <v>0</v>
      </c>
      <c r="E182" s="30">
        <f>N(470.83)</f>
        <v>470.83</v>
      </c>
      <c r="F182" s="30">
        <f t="shared" si="135"/>
        <v>0</v>
      </c>
      <c r="G182" s="30">
        <f t="shared" si="135"/>
        <v>0</v>
      </c>
      <c r="H182" s="30">
        <f t="shared" si="136"/>
        <v>0</v>
      </c>
      <c r="I182" s="30">
        <f t="shared" si="136"/>
        <v>0</v>
      </c>
      <c r="J182" s="30">
        <f t="shared" si="136"/>
        <v>0</v>
      </c>
      <c r="K182" s="30">
        <f t="shared" si="136"/>
        <v>0</v>
      </c>
      <c r="L182" s="30">
        <f t="shared" si="136"/>
        <v>0</v>
      </c>
      <c r="M182" s="30">
        <f>N(4.81)</f>
        <v>4.8099999999999996</v>
      </c>
      <c r="N182" s="30">
        <f t="shared" si="136"/>
        <v>0</v>
      </c>
      <c r="O182" s="30">
        <f t="shared" si="136"/>
        <v>0</v>
      </c>
      <c r="P182" s="169">
        <f>SUM(D182:O182)</f>
        <v>475.64</v>
      </c>
    </row>
    <row r="183" spans="1:16" hidden="1" outlineLevel="2">
      <c r="A183" s="22"/>
      <c r="B183" s="28">
        <v>8160</v>
      </c>
      <c r="C183" s="29" t="s">
        <v>223</v>
      </c>
      <c r="D183" s="30">
        <f>N(5496.75)</f>
        <v>5496.75</v>
      </c>
      <c r="E183" s="30">
        <f>N(3388.49)</f>
        <v>3388.49</v>
      </c>
      <c r="F183" s="30">
        <f t="shared" si="135"/>
        <v>0</v>
      </c>
      <c r="G183" s="30">
        <f t="shared" si="135"/>
        <v>0</v>
      </c>
      <c r="H183" s="30">
        <f t="shared" si="136"/>
        <v>0</v>
      </c>
      <c r="I183" s="30">
        <f t="shared" si="136"/>
        <v>0</v>
      </c>
      <c r="J183" s="30">
        <f t="shared" si="136"/>
        <v>0</v>
      </c>
      <c r="K183" s="30">
        <f t="shared" si="136"/>
        <v>0</v>
      </c>
      <c r="L183" s="30">
        <f t="shared" si="136"/>
        <v>0</v>
      </c>
      <c r="M183" s="30">
        <f>N(0)</f>
        <v>0</v>
      </c>
      <c r="N183" s="30">
        <f t="shared" si="136"/>
        <v>0</v>
      </c>
      <c r="O183" s="30">
        <f t="shared" si="136"/>
        <v>0</v>
      </c>
      <c r="P183" s="169">
        <f>SUM(D183:O183)</f>
        <v>8885.24</v>
      </c>
    </row>
    <row r="184" spans="1:16" outlineLevel="1" collapsed="1">
      <c r="A184" s="22"/>
      <c r="B184" s="35" t="str">
        <f>"    "&amp;"Finanskostnad"</f>
        <v xml:space="preserve">    Finanskostnad</v>
      </c>
      <c r="C184" s="36"/>
      <c r="D184" s="33">
        <f t="shared" ref="D184:P184" si="137">SUM(D179:D183)</f>
        <v>5848.75</v>
      </c>
      <c r="E184" s="33">
        <f t="shared" si="137"/>
        <v>247825.63999999998</v>
      </c>
      <c r="F184" s="33">
        <f t="shared" si="137"/>
        <v>0</v>
      </c>
      <c r="G184" s="33">
        <f t="shared" si="137"/>
        <v>498031.81</v>
      </c>
      <c r="H184" s="33">
        <f t="shared" si="137"/>
        <v>0</v>
      </c>
      <c r="I184" s="33">
        <f t="shared" si="137"/>
        <v>0</v>
      </c>
      <c r="J184" s="33">
        <f t="shared" si="137"/>
        <v>0</v>
      </c>
      <c r="K184" s="33">
        <f t="shared" si="137"/>
        <v>0</v>
      </c>
      <c r="L184" s="33">
        <f t="shared" si="137"/>
        <v>0</v>
      </c>
      <c r="M184" s="33">
        <f t="shared" si="137"/>
        <v>4.8099999999999996</v>
      </c>
      <c r="N184" s="33">
        <f t="shared" si="137"/>
        <v>0</v>
      </c>
      <c r="O184" s="33">
        <f t="shared" si="137"/>
        <v>0</v>
      </c>
      <c r="P184" s="170">
        <f t="shared" si="137"/>
        <v>751711.01</v>
      </c>
    </row>
    <row r="185" spans="1:16">
      <c r="A185" s="22"/>
      <c r="B185" s="41" t="s">
        <v>225</v>
      </c>
      <c r="C185" s="42"/>
      <c r="D185" s="44">
        <f t="shared" ref="D185:P185" si="138">SUM(D184)</f>
        <v>5848.75</v>
      </c>
      <c r="E185" s="44">
        <f t="shared" si="138"/>
        <v>247825.63999999998</v>
      </c>
      <c r="F185" s="44">
        <f t="shared" si="138"/>
        <v>0</v>
      </c>
      <c r="G185" s="44">
        <f t="shared" si="138"/>
        <v>498031.81</v>
      </c>
      <c r="H185" s="44">
        <f t="shared" si="138"/>
        <v>0</v>
      </c>
      <c r="I185" s="44">
        <f t="shared" si="138"/>
        <v>0</v>
      </c>
      <c r="J185" s="44">
        <f t="shared" si="138"/>
        <v>0</v>
      </c>
      <c r="K185" s="44">
        <f t="shared" si="138"/>
        <v>0</v>
      </c>
      <c r="L185" s="44">
        <f t="shared" si="138"/>
        <v>0</v>
      </c>
      <c r="M185" s="44">
        <f t="shared" si="138"/>
        <v>4.8099999999999996</v>
      </c>
      <c r="N185" s="44">
        <f t="shared" si="138"/>
        <v>0</v>
      </c>
      <c r="O185" s="44">
        <f t="shared" si="138"/>
        <v>0</v>
      </c>
      <c r="P185" s="171">
        <f t="shared" si="138"/>
        <v>751711.01</v>
      </c>
    </row>
    <row r="186" spans="1:16">
      <c r="A186" s="22"/>
      <c r="B186" s="48" t="s">
        <v>226</v>
      </c>
      <c r="C186" s="172"/>
      <c r="D186" s="51">
        <f t="shared" ref="D186:P186" si="139">SUM(D178)-SUM(D185)</f>
        <v>4263.6299999999992</v>
      </c>
      <c r="E186" s="51">
        <f t="shared" si="139"/>
        <v>365266.2699999999</v>
      </c>
      <c r="F186" s="51">
        <f t="shared" si="139"/>
        <v>0</v>
      </c>
      <c r="G186" s="51">
        <f t="shared" si="139"/>
        <v>36906.360000000044</v>
      </c>
      <c r="H186" s="51">
        <f t="shared" si="139"/>
        <v>0</v>
      </c>
      <c r="I186" s="51">
        <f t="shared" si="139"/>
        <v>0</v>
      </c>
      <c r="J186" s="51">
        <f t="shared" si="139"/>
        <v>0</v>
      </c>
      <c r="K186" s="51">
        <f t="shared" si="139"/>
        <v>0</v>
      </c>
      <c r="L186" s="51">
        <f t="shared" si="139"/>
        <v>0</v>
      </c>
      <c r="M186" s="51">
        <f t="shared" si="139"/>
        <v>-4.8099999999999996</v>
      </c>
      <c r="N186" s="51">
        <f t="shared" si="139"/>
        <v>0</v>
      </c>
      <c r="O186" s="51">
        <f t="shared" si="139"/>
        <v>0</v>
      </c>
      <c r="P186" s="173">
        <f t="shared" si="139"/>
        <v>406431.44999999995</v>
      </c>
    </row>
    <row r="187" spans="1:16">
      <c r="A187" s="22"/>
      <c r="B187" s="27"/>
      <c r="C187" s="24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176"/>
    </row>
    <row r="188" spans="1:16" ht="15.6">
      <c r="B188" s="77" t="s">
        <v>227</v>
      </c>
      <c r="C188" s="78"/>
      <c r="D188" s="80">
        <f t="shared" ref="D188:P188" ca="1" si="140">IFERROR(SUM(D172)+SUM(D186),0)</f>
        <v>707610.65999999747</v>
      </c>
      <c r="E188" s="80">
        <f t="shared" ca="1" si="140"/>
        <v>1671562.6300000013</v>
      </c>
      <c r="F188" s="80">
        <f t="shared" ca="1" si="140"/>
        <v>0</v>
      </c>
      <c r="G188" s="80">
        <f t="shared" ca="1" si="140"/>
        <v>740114.91999999969</v>
      </c>
      <c r="H188" s="80">
        <f t="shared" ca="1" si="140"/>
        <v>-253314.15000000002</v>
      </c>
      <c r="I188" s="80">
        <f t="shared" ca="1" si="140"/>
        <v>128114.92999999993</v>
      </c>
      <c r="J188" s="80">
        <f t="shared" ca="1" si="140"/>
        <v>-0.18000000005122274</v>
      </c>
      <c r="K188" s="80">
        <f t="shared" ca="1" si="140"/>
        <v>219832.37999999989</v>
      </c>
      <c r="L188" s="80">
        <f t="shared" ca="1" si="140"/>
        <v>29646.390000000014</v>
      </c>
      <c r="M188" s="80">
        <f t="shared" ca="1" si="140"/>
        <v>-442490.31</v>
      </c>
      <c r="N188" s="80">
        <f t="shared" ca="1" si="140"/>
        <v>540702.21</v>
      </c>
      <c r="O188" s="80">
        <f t="shared" ca="1" si="140"/>
        <v>-0.87999999942258</v>
      </c>
      <c r="P188" s="177">
        <f t="shared" ca="1" si="140"/>
        <v>3341778.5999999912</v>
      </c>
    </row>
    <row r="189" spans="1:16" ht="15.6">
      <c r="B189" s="178"/>
      <c r="C189" s="179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</row>
    <row r="190" spans="1:16" hidden="1" outlineLevel="2">
      <c r="A190" s="22"/>
      <c r="B190" s="28">
        <v>8914</v>
      </c>
      <c r="C190" s="29" t="s">
        <v>228</v>
      </c>
      <c r="D190" s="30">
        <f>N(707610.66)</f>
        <v>707610.66</v>
      </c>
      <c r="E190" s="30">
        <f t="shared" ref="E190:F191" si="141">N(0)</f>
        <v>0</v>
      </c>
      <c r="F190" s="30">
        <f t="shared" si="141"/>
        <v>0</v>
      </c>
      <c r="G190" s="30">
        <f>N(740114.92)</f>
        <v>740114.92</v>
      </c>
      <c r="H190" s="30">
        <f t="shared" ref="H190:J191" si="142">N(0)</f>
        <v>0</v>
      </c>
      <c r="I190" s="30">
        <f t="shared" si="142"/>
        <v>0</v>
      </c>
      <c r="J190" s="30">
        <f t="shared" si="142"/>
        <v>0</v>
      </c>
      <c r="K190" s="30">
        <f>N(219832.38)</f>
        <v>219832.38</v>
      </c>
      <c r="L190" s="30">
        <f t="shared" ref="L190:O191" si="143">N(0)</f>
        <v>0</v>
      </c>
      <c r="M190" s="30">
        <f t="shared" si="143"/>
        <v>0</v>
      </c>
      <c r="N190" s="30">
        <f t="shared" si="143"/>
        <v>0</v>
      </c>
      <c r="O190" s="30">
        <f t="shared" si="143"/>
        <v>0</v>
      </c>
      <c r="P190" s="169">
        <f>SUM(D190:O190)</f>
        <v>1667557.96</v>
      </c>
    </row>
    <row r="191" spans="1:16" hidden="1" outlineLevel="2">
      <c r="A191" s="22"/>
      <c r="B191" s="28">
        <v>8960</v>
      </c>
      <c r="C191" s="29" t="s">
        <v>232</v>
      </c>
      <c r="D191" s="30">
        <f>N(0)</f>
        <v>0</v>
      </c>
      <c r="E191" s="30">
        <f t="shared" si="141"/>
        <v>0</v>
      </c>
      <c r="F191" s="30">
        <f t="shared" si="141"/>
        <v>0</v>
      </c>
      <c r="G191" s="30">
        <f>N(0)</f>
        <v>0</v>
      </c>
      <c r="H191" s="30">
        <f t="shared" si="142"/>
        <v>0</v>
      </c>
      <c r="I191" s="30">
        <f t="shared" si="142"/>
        <v>0</v>
      </c>
      <c r="J191" s="30">
        <f t="shared" si="142"/>
        <v>0</v>
      </c>
      <c r="K191" s="30">
        <f>N(0)</f>
        <v>0</v>
      </c>
      <c r="L191" s="30">
        <f t="shared" si="143"/>
        <v>0</v>
      </c>
      <c r="M191" s="30">
        <f t="shared" si="143"/>
        <v>0</v>
      </c>
      <c r="N191" s="30">
        <f t="shared" si="143"/>
        <v>0</v>
      </c>
      <c r="O191" s="30">
        <f t="shared" si="143"/>
        <v>0</v>
      </c>
      <c r="P191" s="169">
        <f>SUM(D191:O191)</f>
        <v>0</v>
      </c>
    </row>
    <row r="192" spans="1:16" outlineLevel="1" collapsed="1">
      <c r="A192" s="22"/>
      <c r="B192" s="35" t="str">
        <f>"    "&amp;"Overføringer og disponeringer"</f>
        <v xml:space="preserve">    Overføringer og disponeringer</v>
      </c>
      <c r="C192" s="36"/>
      <c r="D192" s="33">
        <f t="shared" ref="D192:P192" si="144">SUM(D190:D191)</f>
        <v>707610.66</v>
      </c>
      <c r="E192" s="33">
        <f t="shared" si="144"/>
        <v>0</v>
      </c>
      <c r="F192" s="33">
        <f t="shared" si="144"/>
        <v>0</v>
      </c>
      <c r="G192" s="33">
        <f t="shared" si="144"/>
        <v>740114.92</v>
      </c>
      <c r="H192" s="33">
        <f t="shared" si="144"/>
        <v>0</v>
      </c>
      <c r="I192" s="33">
        <f t="shared" si="144"/>
        <v>0</v>
      </c>
      <c r="J192" s="33">
        <f t="shared" si="144"/>
        <v>0</v>
      </c>
      <c r="K192" s="33">
        <f t="shared" si="144"/>
        <v>219832.38</v>
      </c>
      <c r="L192" s="33">
        <f t="shared" si="144"/>
        <v>0</v>
      </c>
      <c r="M192" s="33">
        <f t="shared" si="144"/>
        <v>0</v>
      </c>
      <c r="N192" s="33">
        <f t="shared" si="144"/>
        <v>0</v>
      </c>
      <c r="O192" s="33">
        <f t="shared" si="144"/>
        <v>0</v>
      </c>
      <c r="P192" s="170">
        <f t="shared" si="144"/>
        <v>1667557.96</v>
      </c>
    </row>
    <row r="193" spans="1:16">
      <c r="A193" s="22"/>
      <c r="B193" s="89" t="s">
        <v>233</v>
      </c>
      <c r="C193" s="90"/>
      <c r="D193" s="92">
        <f t="shared" ref="D193:P193" si="145">SUM(D192)</f>
        <v>707610.66</v>
      </c>
      <c r="E193" s="92">
        <f t="shared" si="145"/>
        <v>0</v>
      </c>
      <c r="F193" s="92">
        <f t="shared" si="145"/>
        <v>0</v>
      </c>
      <c r="G193" s="92">
        <f t="shared" si="145"/>
        <v>740114.92</v>
      </c>
      <c r="H193" s="92">
        <f t="shared" si="145"/>
        <v>0</v>
      </c>
      <c r="I193" s="92">
        <f t="shared" si="145"/>
        <v>0</v>
      </c>
      <c r="J193" s="92">
        <f t="shared" si="145"/>
        <v>0</v>
      </c>
      <c r="K193" s="92">
        <f t="shared" si="145"/>
        <v>219832.38</v>
      </c>
      <c r="L193" s="92">
        <f t="shared" si="145"/>
        <v>0</v>
      </c>
      <c r="M193" s="92">
        <f t="shared" si="145"/>
        <v>0</v>
      </c>
      <c r="N193" s="92">
        <f t="shared" si="145"/>
        <v>0</v>
      </c>
      <c r="O193" s="92">
        <f t="shared" si="145"/>
        <v>0</v>
      </c>
      <c r="P193" s="181">
        <f t="shared" si="145"/>
        <v>1667557.96</v>
      </c>
    </row>
    <row r="195" spans="1:16">
      <c r="C195" s="97"/>
    </row>
    <row r="197" spans="1:16">
      <c r="B197" s="6"/>
      <c r="C197" s="6"/>
    </row>
  </sheetData>
  <pageMargins left="0.25" right="0.25" top="0.75" bottom="0.75" header="0.3" footer="0.3"/>
  <pageSetup paperSize="9" fitToHeight="0" orientation="landscape"/>
  <headerFooter>
    <oddFooter>&amp;R
Side &amp;P av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23F10-5BC4-4C28-BD4F-BB9120A969C7}">
  <sheetPr>
    <pageSetUpPr fitToPage="1"/>
  </sheetPr>
  <dimension ref="A1:P179"/>
  <sheetViews>
    <sheetView showGridLines="0" workbookViewId="0">
      <pane ySplit="5" topLeftCell="A153" activePane="bottomLeft" state="frozen"/>
      <selection pane="bottomLeft" activeCell="D151" sqref="D151:P151"/>
    </sheetView>
  </sheetViews>
  <sheetFormatPr defaultColWidth="11.42578125" defaultRowHeight="14.45" outlineLevelRow="2" outlineLevelCol="1"/>
  <cols>
    <col min="1" max="1" width="1.7109375" customWidth="1"/>
    <col min="2" max="2" width="16.140625" customWidth="1"/>
    <col min="3" max="3" width="18.85546875" customWidth="1"/>
    <col min="4" max="15" width="15.7109375" customWidth="1" outlineLevel="1"/>
    <col min="16" max="16" width="15.7109375" customWidth="1"/>
  </cols>
  <sheetData>
    <row r="1" spans="1:16" ht="9.9499999999999993" customHeigh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6" t="s">
        <v>314</v>
      </c>
    </row>
    <row r="2" spans="1:16" ht="18">
      <c r="A2" s="7"/>
      <c r="B2" s="8" t="s">
        <v>347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9">
        <v>45359.633842592593</v>
      </c>
    </row>
    <row r="3" spans="1:16" ht="15.6">
      <c r="B3" s="101" t="s">
        <v>316</v>
      </c>
    </row>
    <row r="4" spans="1:16" ht="11.25" customHeight="1"/>
    <row r="5" spans="1:16" ht="28.9">
      <c r="B5" s="103" t="str">
        <f>"Periode: "&amp;LEFT("202212",4)&amp;"01 - "&amp;"202212"</f>
        <v>Periode: 202201 - 202212</v>
      </c>
      <c r="C5" s="167"/>
      <c r="D5" s="163" t="str">
        <f>1&amp;" "&amp;"Internasjonal"</f>
        <v>1 Internasjonal</v>
      </c>
      <c r="E5" s="163" t="str">
        <f>2&amp;" "&amp;"Drift"</f>
        <v>2 Drift</v>
      </c>
      <c r="F5" s="163" t="str">
        <f>3&amp;" "&amp;"Magasin"</f>
        <v>3 Magasin</v>
      </c>
      <c r="G5" s="163" t="str">
        <f>4&amp;" "&amp;"Utviklingsfond"</f>
        <v>4 Utviklingsfond</v>
      </c>
      <c r="H5" s="163" t="str">
        <f>5&amp;" "&amp;"Videre"</f>
        <v>5 Videre</v>
      </c>
      <c r="I5" s="163" t="str">
        <f>6&amp;" "&amp;"Menighet"</f>
        <v>6 Menighet</v>
      </c>
      <c r="J5" s="163" t="str">
        <f>14&amp;" "&amp;"Skoledrift"</f>
        <v>14 Skoledrift</v>
      </c>
      <c r="K5" s="163" t="str">
        <f>15&amp;" "&amp;"Tilsyn"</f>
        <v>15 Tilsyn</v>
      </c>
      <c r="L5" s="163" t="str">
        <f>16&amp;" "&amp;"Pensjonskassen"</f>
        <v>16 Pensjonskassen</v>
      </c>
      <c r="M5" s="163" t="str">
        <f>17&amp;" "&amp;"Synodal"</f>
        <v>17 Synodal</v>
      </c>
      <c r="N5" s="163" t="str">
        <f>18&amp;" "&amp;"Nasjonal"</f>
        <v>18 Nasjonal</v>
      </c>
      <c r="O5" s="163" t="str">
        <f>19&amp;" "&amp;"Barn og Unge"</f>
        <v>19 Barn og Unge</v>
      </c>
      <c r="P5" s="164" t="s">
        <v>25</v>
      </c>
    </row>
    <row r="6" spans="1:16" ht="9" customHeight="1">
      <c r="A6" s="22"/>
      <c r="B6" s="23"/>
      <c r="C6" s="24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168"/>
    </row>
    <row r="7" spans="1:16" hidden="1" outlineLevel="2">
      <c r="A7" s="22"/>
      <c r="B7" s="28">
        <v>3100</v>
      </c>
      <c r="C7" s="29" t="s">
        <v>54</v>
      </c>
      <c r="D7" s="30">
        <f t="shared" ref="D7:D9" si="0">-N(0)</f>
        <v>0</v>
      </c>
      <c r="E7" s="30">
        <f>-N(0)</f>
        <v>0</v>
      </c>
      <c r="F7" s="30">
        <f>-N(-23653.25)</f>
        <v>23653.25</v>
      </c>
      <c r="G7" s="30">
        <f t="shared" ref="G7:O9" si="1">-N(0)</f>
        <v>0</v>
      </c>
      <c r="H7" s="30">
        <f t="shared" si="1"/>
        <v>0</v>
      </c>
      <c r="I7" s="30">
        <f t="shared" si="1"/>
        <v>0</v>
      </c>
      <c r="J7" s="30">
        <f t="shared" si="1"/>
        <v>0</v>
      </c>
      <c r="K7" s="30">
        <f t="shared" si="1"/>
        <v>0</v>
      </c>
      <c r="L7" s="30">
        <f t="shared" si="1"/>
        <v>0</v>
      </c>
      <c r="M7" s="30">
        <f t="shared" si="1"/>
        <v>0</v>
      </c>
      <c r="N7" s="30">
        <f t="shared" si="1"/>
        <v>0</v>
      </c>
      <c r="O7" s="30">
        <f t="shared" si="1"/>
        <v>0</v>
      </c>
      <c r="P7" s="169">
        <f t="shared" ref="P7:P38" si="2">SUM(D7:O7)</f>
        <v>23653.25</v>
      </c>
    </row>
    <row r="8" spans="1:16" hidden="1" outlineLevel="2">
      <c r="A8" s="22"/>
      <c r="B8" s="28">
        <v>3110</v>
      </c>
      <c r="C8" s="29" t="s">
        <v>55</v>
      </c>
      <c r="D8" s="30">
        <f t="shared" si="0"/>
        <v>0</v>
      </c>
      <c r="E8" s="30">
        <f>-N(-1603)</f>
        <v>1603</v>
      </c>
      <c r="F8" s="30">
        <f t="shared" ref="F8:F9" si="3">-N(0)</f>
        <v>0</v>
      </c>
      <c r="G8" s="30">
        <f t="shared" si="1"/>
        <v>0</v>
      </c>
      <c r="H8" s="30">
        <f>-N(-9430.6)</f>
        <v>9430.6</v>
      </c>
      <c r="I8" s="30">
        <f t="shared" si="1"/>
        <v>0</v>
      </c>
      <c r="J8" s="30">
        <f t="shared" si="1"/>
        <v>0</v>
      </c>
      <c r="K8" s="30">
        <f t="shared" si="1"/>
        <v>0</v>
      </c>
      <c r="L8" s="30">
        <f t="shared" si="1"/>
        <v>0</v>
      </c>
      <c r="M8" s="30">
        <f t="shared" si="1"/>
        <v>0</v>
      </c>
      <c r="N8" s="30">
        <f t="shared" si="1"/>
        <v>0</v>
      </c>
      <c r="O8" s="30">
        <f t="shared" si="1"/>
        <v>0</v>
      </c>
      <c r="P8" s="169">
        <f t="shared" si="2"/>
        <v>11033.6</v>
      </c>
    </row>
    <row r="9" spans="1:16" hidden="1" outlineLevel="2">
      <c r="A9" s="22"/>
      <c r="B9" s="28">
        <v>3700</v>
      </c>
      <c r="C9" s="29" t="s">
        <v>56</v>
      </c>
      <c r="D9" s="30">
        <f t="shared" si="0"/>
        <v>0</v>
      </c>
      <c r="E9" s="30">
        <f>-N(-562.5)</f>
        <v>562.5</v>
      </c>
      <c r="F9" s="30">
        <f t="shared" si="3"/>
        <v>0</v>
      </c>
      <c r="G9" s="30">
        <f t="shared" si="1"/>
        <v>0</v>
      </c>
      <c r="H9" s="30">
        <f>-N(0)</f>
        <v>0</v>
      </c>
      <c r="I9" s="30">
        <f t="shared" si="1"/>
        <v>0</v>
      </c>
      <c r="J9" s="30">
        <f t="shared" si="1"/>
        <v>0</v>
      </c>
      <c r="K9" s="30">
        <f t="shared" si="1"/>
        <v>0</v>
      </c>
      <c r="L9" s="30">
        <f t="shared" si="1"/>
        <v>0</v>
      </c>
      <c r="M9" s="30">
        <f t="shared" si="1"/>
        <v>0</v>
      </c>
      <c r="N9" s="30">
        <f t="shared" si="1"/>
        <v>0</v>
      </c>
      <c r="O9" s="30">
        <f t="shared" si="1"/>
        <v>0</v>
      </c>
      <c r="P9" s="169">
        <f t="shared" si="2"/>
        <v>562.5</v>
      </c>
    </row>
    <row r="10" spans="1:16" outlineLevel="1" collapsed="1">
      <c r="A10" s="22"/>
      <c r="B10" s="35" t="str">
        <f>"    "&amp;"Salgsinntekt, avgiftspliktig"</f>
        <v xml:space="preserve">    Salgsinntekt, avgiftspliktig</v>
      </c>
      <c r="C10" s="36"/>
      <c r="D10" s="33">
        <f t="shared" ref="D10:O10" si="4">SUM(D7:D9)</f>
        <v>0</v>
      </c>
      <c r="E10" s="33">
        <f t="shared" si="4"/>
        <v>2165.5</v>
      </c>
      <c r="F10" s="33">
        <f t="shared" si="4"/>
        <v>23653.25</v>
      </c>
      <c r="G10" s="33">
        <f t="shared" si="4"/>
        <v>0</v>
      </c>
      <c r="H10" s="33">
        <f t="shared" si="4"/>
        <v>9430.6</v>
      </c>
      <c r="I10" s="33">
        <f t="shared" si="4"/>
        <v>0</v>
      </c>
      <c r="J10" s="33">
        <f t="shared" si="4"/>
        <v>0</v>
      </c>
      <c r="K10" s="33">
        <f t="shared" si="4"/>
        <v>0</v>
      </c>
      <c r="L10" s="33">
        <f t="shared" si="4"/>
        <v>0</v>
      </c>
      <c r="M10" s="33">
        <f t="shared" si="4"/>
        <v>0</v>
      </c>
      <c r="N10" s="33">
        <f t="shared" si="4"/>
        <v>0</v>
      </c>
      <c r="O10" s="33">
        <f t="shared" si="4"/>
        <v>0</v>
      </c>
      <c r="P10" s="170">
        <f t="shared" si="2"/>
        <v>35249.35</v>
      </c>
    </row>
    <row r="11" spans="1:16" hidden="1" outlineLevel="2">
      <c r="A11" s="22"/>
      <c r="B11" s="28">
        <v>3200</v>
      </c>
      <c r="C11" s="29" t="s">
        <v>58</v>
      </c>
      <c r="D11" s="30">
        <f t="shared" ref="D11:G13" si="5">-N(0)</f>
        <v>0</v>
      </c>
      <c r="E11" s="30">
        <f t="shared" si="5"/>
        <v>0</v>
      </c>
      <c r="F11" s="30">
        <f t="shared" si="5"/>
        <v>0</v>
      </c>
      <c r="G11" s="30">
        <f t="shared" si="5"/>
        <v>0</v>
      </c>
      <c r="H11" s="30">
        <f>-N(-1401744)</f>
        <v>1401744</v>
      </c>
      <c r="I11" s="30">
        <f t="shared" ref="I11:N13" si="6">-N(0)</f>
        <v>0</v>
      </c>
      <c r="J11" s="30">
        <f t="shared" si="6"/>
        <v>0</v>
      </c>
      <c r="K11" s="30">
        <f t="shared" si="6"/>
        <v>0</v>
      </c>
      <c r="L11" s="30">
        <f t="shared" si="6"/>
        <v>0</v>
      </c>
      <c r="M11" s="30">
        <f>-N(-484020)</f>
        <v>484020</v>
      </c>
      <c r="N11" s="30">
        <f>-N(-54220)</f>
        <v>54220</v>
      </c>
      <c r="O11" s="30">
        <f t="shared" ref="O11:O13" si="7">-N(0)</f>
        <v>0</v>
      </c>
      <c r="P11" s="169">
        <f t="shared" si="2"/>
        <v>1939984</v>
      </c>
    </row>
    <row r="12" spans="1:16" hidden="1" outlineLevel="2">
      <c r="A12" s="22"/>
      <c r="B12" s="28">
        <v>3205</v>
      </c>
      <c r="C12" s="29" t="s">
        <v>61</v>
      </c>
      <c r="D12" s="30">
        <f>-N(-2575)</f>
        <v>2575</v>
      </c>
      <c r="E12" s="30">
        <f t="shared" si="5"/>
        <v>0</v>
      </c>
      <c r="F12" s="30">
        <f t="shared" si="5"/>
        <v>0</v>
      </c>
      <c r="G12" s="30">
        <f t="shared" si="5"/>
        <v>0</v>
      </c>
      <c r="H12" s="30">
        <f>-N(-209755)</f>
        <v>209755</v>
      </c>
      <c r="I12" s="30">
        <f t="shared" si="6"/>
        <v>0</v>
      </c>
      <c r="J12" s="30">
        <f t="shared" si="6"/>
        <v>0</v>
      </c>
      <c r="K12" s="30">
        <f t="shared" si="6"/>
        <v>0</v>
      </c>
      <c r="L12" s="30">
        <f t="shared" si="6"/>
        <v>0</v>
      </c>
      <c r="M12" s="30">
        <f t="shared" si="6"/>
        <v>0</v>
      </c>
      <c r="N12" s="30">
        <f t="shared" si="6"/>
        <v>0</v>
      </c>
      <c r="O12" s="30">
        <f t="shared" si="7"/>
        <v>0</v>
      </c>
      <c r="P12" s="169">
        <f t="shared" si="2"/>
        <v>212330</v>
      </c>
    </row>
    <row r="13" spans="1:16" hidden="1" outlineLevel="2">
      <c r="A13" s="22"/>
      <c r="B13" s="28">
        <v>3226</v>
      </c>
      <c r="C13" s="29" t="s">
        <v>62</v>
      </c>
      <c r="D13" s="30">
        <f>-N(0)</f>
        <v>0</v>
      </c>
      <c r="E13" s="30">
        <f t="shared" si="5"/>
        <v>0</v>
      </c>
      <c r="F13" s="30">
        <f t="shared" si="5"/>
        <v>0</v>
      </c>
      <c r="G13" s="30">
        <f t="shared" si="5"/>
        <v>0</v>
      </c>
      <c r="H13" s="30">
        <f>-N(-100000)</f>
        <v>100000</v>
      </c>
      <c r="I13" s="30">
        <f t="shared" si="6"/>
        <v>0</v>
      </c>
      <c r="J13" s="30">
        <f t="shared" si="6"/>
        <v>0</v>
      </c>
      <c r="K13" s="30">
        <f t="shared" si="6"/>
        <v>0</v>
      </c>
      <c r="L13" s="30">
        <f t="shared" si="6"/>
        <v>0</v>
      </c>
      <c r="M13" s="30">
        <f t="shared" si="6"/>
        <v>0</v>
      </c>
      <c r="N13" s="30">
        <f t="shared" si="6"/>
        <v>0</v>
      </c>
      <c r="O13" s="30">
        <f t="shared" si="7"/>
        <v>0</v>
      </c>
      <c r="P13" s="169">
        <f t="shared" si="2"/>
        <v>100000</v>
      </c>
    </row>
    <row r="14" spans="1:16" outlineLevel="1" collapsed="1">
      <c r="A14" s="22"/>
      <c r="B14" s="35" t="str">
        <f>"    "&amp;"Arrangement"</f>
        <v xml:space="preserve">    Arrangement</v>
      </c>
      <c r="C14" s="36"/>
      <c r="D14" s="33">
        <f t="shared" ref="D14:O14" si="8">SUM(D11:D13)</f>
        <v>2575</v>
      </c>
      <c r="E14" s="33">
        <f t="shared" si="8"/>
        <v>0</v>
      </c>
      <c r="F14" s="33">
        <f t="shared" si="8"/>
        <v>0</v>
      </c>
      <c r="G14" s="33">
        <f t="shared" si="8"/>
        <v>0</v>
      </c>
      <c r="H14" s="33">
        <f t="shared" si="8"/>
        <v>1711499</v>
      </c>
      <c r="I14" s="33">
        <f t="shared" si="8"/>
        <v>0</v>
      </c>
      <c r="J14" s="33">
        <f t="shared" si="8"/>
        <v>0</v>
      </c>
      <c r="K14" s="33">
        <f t="shared" si="8"/>
        <v>0</v>
      </c>
      <c r="L14" s="33">
        <f t="shared" si="8"/>
        <v>0</v>
      </c>
      <c r="M14" s="33">
        <f t="shared" si="8"/>
        <v>484020</v>
      </c>
      <c r="N14" s="33">
        <f t="shared" si="8"/>
        <v>54220</v>
      </c>
      <c r="O14" s="33">
        <f t="shared" si="8"/>
        <v>0</v>
      </c>
      <c r="P14" s="170">
        <f t="shared" si="2"/>
        <v>2252314</v>
      </c>
    </row>
    <row r="15" spans="1:16">
      <c r="A15" s="22"/>
      <c r="B15" s="41" t="s">
        <v>9</v>
      </c>
      <c r="C15" s="42"/>
      <c r="D15" s="44">
        <f t="shared" ref="D15:O15" si="9">SUM(D10,D14)</f>
        <v>2575</v>
      </c>
      <c r="E15" s="44">
        <f t="shared" si="9"/>
        <v>2165.5</v>
      </c>
      <c r="F15" s="44">
        <f t="shared" si="9"/>
        <v>23653.25</v>
      </c>
      <c r="G15" s="44">
        <f t="shared" si="9"/>
        <v>0</v>
      </c>
      <c r="H15" s="44">
        <f t="shared" si="9"/>
        <v>1720929.6</v>
      </c>
      <c r="I15" s="44">
        <f t="shared" si="9"/>
        <v>0</v>
      </c>
      <c r="J15" s="44">
        <f t="shared" si="9"/>
        <v>0</v>
      </c>
      <c r="K15" s="44">
        <f t="shared" si="9"/>
        <v>0</v>
      </c>
      <c r="L15" s="44">
        <f t="shared" si="9"/>
        <v>0</v>
      </c>
      <c r="M15" s="44">
        <f t="shared" si="9"/>
        <v>484020</v>
      </c>
      <c r="N15" s="44">
        <f t="shared" si="9"/>
        <v>54220</v>
      </c>
      <c r="O15" s="44">
        <f t="shared" si="9"/>
        <v>0</v>
      </c>
      <c r="P15" s="171">
        <f t="shared" si="2"/>
        <v>2287563.35</v>
      </c>
    </row>
    <row r="16" spans="1:16" hidden="1" outlineLevel="2">
      <c r="A16" s="22"/>
      <c r="B16" s="28">
        <v>3216</v>
      </c>
      <c r="C16" s="29" t="s">
        <v>66</v>
      </c>
      <c r="D16" s="30">
        <f>-N(-125000)</f>
        <v>125000</v>
      </c>
      <c r="E16" s="30">
        <f t="shared" ref="E16:O18" si="10">-N(0)</f>
        <v>0</v>
      </c>
      <c r="F16" s="30">
        <f t="shared" si="10"/>
        <v>0</v>
      </c>
      <c r="G16" s="30">
        <f t="shared" si="10"/>
        <v>0</v>
      </c>
      <c r="H16" s="30">
        <f t="shared" si="10"/>
        <v>0</v>
      </c>
      <c r="I16" s="30">
        <f t="shared" si="10"/>
        <v>0</v>
      </c>
      <c r="J16" s="30">
        <f t="shared" si="10"/>
        <v>0</v>
      </c>
      <c r="K16" s="30">
        <f t="shared" si="10"/>
        <v>0</v>
      </c>
      <c r="L16" s="30">
        <f t="shared" si="10"/>
        <v>0</v>
      </c>
      <c r="M16" s="30">
        <f t="shared" si="10"/>
        <v>0</v>
      </c>
      <c r="N16" s="30">
        <f t="shared" si="10"/>
        <v>0</v>
      </c>
      <c r="O16" s="30">
        <f t="shared" si="10"/>
        <v>0</v>
      </c>
      <c r="P16" s="169">
        <f t="shared" si="2"/>
        <v>125000</v>
      </c>
    </row>
    <row r="17" spans="1:16" hidden="1" outlineLevel="2">
      <c r="A17" s="22"/>
      <c r="B17" s="28">
        <v>3218</v>
      </c>
      <c r="C17" s="29" t="s">
        <v>67</v>
      </c>
      <c r="D17" s="30">
        <f>-N(-22170)</f>
        <v>22170</v>
      </c>
      <c r="E17" s="30">
        <f t="shared" si="10"/>
        <v>0</v>
      </c>
      <c r="F17" s="30">
        <f t="shared" si="10"/>
        <v>0</v>
      </c>
      <c r="G17" s="30">
        <f t="shared" si="10"/>
        <v>0</v>
      </c>
      <c r="H17" s="30">
        <f t="shared" si="10"/>
        <v>0</v>
      </c>
      <c r="I17" s="30">
        <f t="shared" si="10"/>
        <v>0</v>
      </c>
      <c r="J17" s="30">
        <f t="shared" si="10"/>
        <v>0</v>
      </c>
      <c r="K17" s="30">
        <f t="shared" si="10"/>
        <v>0</v>
      </c>
      <c r="L17" s="30">
        <f t="shared" si="10"/>
        <v>0</v>
      </c>
      <c r="M17" s="30">
        <f t="shared" si="10"/>
        <v>0</v>
      </c>
      <c r="N17" s="30">
        <f t="shared" si="10"/>
        <v>0</v>
      </c>
      <c r="O17" s="30">
        <f t="shared" si="10"/>
        <v>0</v>
      </c>
      <c r="P17" s="169">
        <f t="shared" si="2"/>
        <v>22170</v>
      </c>
    </row>
    <row r="18" spans="1:16" hidden="1" outlineLevel="2">
      <c r="A18" s="22"/>
      <c r="B18" s="28">
        <v>3238</v>
      </c>
      <c r="C18" s="29" t="s">
        <v>69</v>
      </c>
      <c r="D18" s="30">
        <f>-N(-2819573.85)</f>
        <v>2819573.85</v>
      </c>
      <c r="E18" s="30">
        <f t="shared" si="10"/>
        <v>0</v>
      </c>
      <c r="F18" s="30">
        <f t="shared" si="10"/>
        <v>0</v>
      </c>
      <c r="G18" s="30">
        <f t="shared" si="10"/>
        <v>0</v>
      </c>
      <c r="H18" s="30">
        <f>-N(-57830)</f>
        <v>57830</v>
      </c>
      <c r="I18" s="30">
        <f>-N(24450)</f>
        <v>-24450</v>
      </c>
      <c r="J18" s="30">
        <f t="shared" si="10"/>
        <v>0</v>
      </c>
      <c r="K18" s="30">
        <f t="shared" si="10"/>
        <v>0</v>
      </c>
      <c r="L18" s="30">
        <f t="shared" si="10"/>
        <v>0</v>
      </c>
      <c r="M18" s="30">
        <f t="shared" si="10"/>
        <v>0</v>
      </c>
      <c r="N18" s="30">
        <f>-N(-26300)</f>
        <v>26300</v>
      </c>
      <c r="O18" s="30">
        <f>-N(0)</f>
        <v>0</v>
      </c>
      <c r="P18" s="169">
        <f t="shared" si="2"/>
        <v>2879253.85</v>
      </c>
    </row>
    <row r="19" spans="1:16" outlineLevel="1" collapsed="1">
      <c r="A19" s="22"/>
      <c r="B19" s="35" t="str">
        <f>"    "&amp;"Gaver"</f>
        <v xml:space="preserve">    Gaver</v>
      </c>
      <c r="C19" s="36"/>
      <c r="D19" s="33">
        <f t="shared" ref="D19:O19" si="11">SUM(D16:D18)</f>
        <v>2966743.85</v>
      </c>
      <c r="E19" s="33">
        <f t="shared" si="11"/>
        <v>0</v>
      </c>
      <c r="F19" s="33">
        <f t="shared" si="11"/>
        <v>0</v>
      </c>
      <c r="G19" s="33">
        <f t="shared" si="11"/>
        <v>0</v>
      </c>
      <c r="H19" s="33">
        <f t="shared" si="11"/>
        <v>57830</v>
      </c>
      <c r="I19" s="33">
        <f t="shared" si="11"/>
        <v>-24450</v>
      </c>
      <c r="J19" s="33">
        <f t="shared" si="11"/>
        <v>0</v>
      </c>
      <c r="K19" s="33">
        <f t="shared" si="11"/>
        <v>0</v>
      </c>
      <c r="L19" s="33">
        <f t="shared" si="11"/>
        <v>0</v>
      </c>
      <c r="M19" s="33">
        <f t="shared" si="11"/>
        <v>0</v>
      </c>
      <c r="N19" s="33">
        <f t="shared" si="11"/>
        <v>26300</v>
      </c>
      <c r="O19" s="33">
        <f t="shared" si="11"/>
        <v>0</v>
      </c>
      <c r="P19" s="170">
        <f t="shared" si="2"/>
        <v>3026423.85</v>
      </c>
    </row>
    <row r="20" spans="1:16">
      <c r="A20" s="22"/>
      <c r="B20" s="41" t="s">
        <v>70</v>
      </c>
      <c r="C20" s="42"/>
      <c r="D20" s="44">
        <f t="shared" ref="D20:O20" si="12">SUM(D19)</f>
        <v>2966743.85</v>
      </c>
      <c r="E20" s="44">
        <f t="shared" si="12"/>
        <v>0</v>
      </c>
      <c r="F20" s="44">
        <f t="shared" si="12"/>
        <v>0</v>
      </c>
      <c r="G20" s="44">
        <f t="shared" si="12"/>
        <v>0</v>
      </c>
      <c r="H20" s="44">
        <f t="shared" si="12"/>
        <v>57830</v>
      </c>
      <c r="I20" s="44">
        <f t="shared" si="12"/>
        <v>-24450</v>
      </c>
      <c r="J20" s="44">
        <f t="shared" si="12"/>
        <v>0</v>
      </c>
      <c r="K20" s="44">
        <f t="shared" si="12"/>
        <v>0</v>
      </c>
      <c r="L20" s="44">
        <f t="shared" si="12"/>
        <v>0</v>
      </c>
      <c r="M20" s="44">
        <f t="shared" si="12"/>
        <v>0</v>
      </c>
      <c r="N20" s="44">
        <f t="shared" si="12"/>
        <v>26300</v>
      </c>
      <c r="O20" s="44">
        <f t="shared" si="12"/>
        <v>0</v>
      </c>
      <c r="P20" s="171">
        <f t="shared" si="2"/>
        <v>3026423.85</v>
      </c>
    </row>
    <row r="21" spans="1:16" hidden="1" outlineLevel="2">
      <c r="A21" s="22"/>
      <c r="B21" s="28">
        <v>3225</v>
      </c>
      <c r="C21" s="29" t="s">
        <v>71</v>
      </c>
      <c r="D21" s="30">
        <f>-N(-307400)</f>
        <v>307400</v>
      </c>
      <c r="E21" s="30">
        <f t="shared" ref="E21:N24" si="13">-N(0)</f>
        <v>0</v>
      </c>
      <c r="F21" s="30">
        <f t="shared" si="13"/>
        <v>0</v>
      </c>
      <c r="G21" s="30">
        <f t="shared" si="13"/>
        <v>0</v>
      </c>
      <c r="H21" s="30">
        <f t="shared" si="13"/>
        <v>0</v>
      </c>
      <c r="I21" s="30">
        <f t="shared" si="13"/>
        <v>0</v>
      </c>
      <c r="J21" s="30">
        <f t="shared" si="13"/>
        <v>0</v>
      </c>
      <c r="K21" s="30">
        <f t="shared" si="13"/>
        <v>0</v>
      </c>
      <c r="L21" s="30">
        <f t="shared" si="13"/>
        <v>0</v>
      </c>
      <c r="M21" s="30">
        <f t="shared" si="13"/>
        <v>0</v>
      </c>
      <c r="N21" s="30">
        <f>-N(-11670)</f>
        <v>11670</v>
      </c>
      <c r="O21" s="30">
        <f t="shared" ref="O21:O23" si="14">-N(0)</f>
        <v>0</v>
      </c>
      <c r="P21" s="169">
        <f t="shared" si="2"/>
        <v>319070</v>
      </c>
    </row>
    <row r="22" spans="1:16" hidden="1" outlineLevel="2">
      <c r="A22" s="22"/>
      <c r="B22" s="28">
        <v>3410</v>
      </c>
      <c r="C22" s="29" t="s">
        <v>22</v>
      </c>
      <c r="D22" s="30">
        <f>-N(-2631764)</f>
        <v>2631764</v>
      </c>
      <c r="E22" s="30">
        <f t="shared" si="13"/>
        <v>0</v>
      </c>
      <c r="F22" s="30">
        <f t="shared" si="13"/>
        <v>0</v>
      </c>
      <c r="G22" s="30">
        <f t="shared" si="13"/>
        <v>0</v>
      </c>
      <c r="H22" s="30">
        <f t="shared" si="13"/>
        <v>0</v>
      </c>
      <c r="I22" s="30">
        <f t="shared" si="13"/>
        <v>0</v>
      </c>
      <c r="J22" s="30">
        <f t="shared" si="13"/>
        <v>0</v>
      </c>
      <c r="K22" s="30">
        <f t="shared" si="13"/>
        <v>0</v>
      </c>
      <c r="L22" s="30">
        <f t="shared" si="13"/>
        <v>0</v>
      </c>
      <c r="M22" s="30">
        <f t="shared" si="13"/>
        <v>0</v>
      </c>
      <c r="N22" s="30">
        <f t="shared" si="13"/>
        <v>0</v>
      </c>
      <c r="O22" s="30">
        <f t="shared" si="14"/>
        <v>0</v>
      </c>
      <c r="P22" s="169">
        <f t="shared" si="2"/>
        <v>2631764</v>
      </c>
    </row>
    <row r="23" spans="1:16" hidden="1" outlineLevel="2">
      <c r="A23" s="22"/>
      <c r="B23" s="28">
        <v>3411</v>
      </c>
      <c r="C23" s="29" t="s">
        <v>23</v>
      </c>
      <c r="D23" s="30">
        <f>-N(-184223.71)</f>
        <v>184223.71</v>
      </c>
      <c r="E23" s="30">
        <f t="shared" si="13"/>
        <v>0</v>
      </c>
      <c r="F23" s="30">
        <f t="shared" si="13"/>
        <v>0</v>
      </c>
      <c r="G23" s="30">
        <f t="shared" si="13"/>
        <v>0</v>
      </c>
      <c r="H23" s="30">
        <f t="shared" si="13"/>
        <v>0</v>
      </c>
      <c r="I23" s="30">
        <f t="shared" si="13"/>
        <v>0</v>
      </c>
      <c r="J23" s="30">
        <f t="shared" si="13"/>
        <v>0</v>
      </c>
      <c r="K23" s="30">
        <f t="shared" si="13"/>
        <v>0</v>
      </c>
      <c r="L23" s="30">
        <f t="shared" si="13"/>
        <v>0</v>
      </c>
      <c r="M23" s="30">
        <f t="shared" si="13"/>
        <v>0</v>
      </c>
      <c r="N23" s="30">
        <f t="shared" si="13"/>
        <v>0</v>
      </c>
      <c r="O23" s="30">
        <f t="shared" si="14"/>
        <v>0</v>
      </c>
      <c r="P23" s="169">
        <f t="shared" si="2"/>
        <v>184223.71</v>
      </c>
    </row>
    <row r="24" spans="1:16" hidden="1" outlineLevel="2">
      <c r="A24" s="22"/>
      <c r="B24" s="28">
        <v>3450</v>
      </c>
      <c r="C24" s="29" t="s">
        <v>72</v>
      </c>
      <c r="D24" s="30">
        <f>-N(0)</f>
        <v>0</v>
      </c>
      <c r="E24" s="30">
        <f>-N(-5728572)</f>
        <v>5728572</v>
      </c>
      <c r="F24" s="30">
        <f>-N(0)</f>
        <v>0</v>
      </c>
      <c r="G24" s="30">
        <f>-N(-2566001)</f>
        <v>2566001</v>
      </c>
      <c r="H24" s="30">
        <f>-N(0)</f>
        <v>0</v>
      </c>
      <c r="I24" s="30">
        <f>-N(-595486)</f>
        <v>595486</v>
      </c>
      <c r="J24" s="30">
        <f>-N(-333472)</f>
        <v>333472</v>
      </c>
      <c r="K24" s="30">
        <f>-N(0)</f>
        <v>0</v>
      </c>
      <c r="L24" s="30">
        <f>-N(-119097)</f>
        <v>119097</v>
      </c>
      <c r="M24" s="30">
        <f>-N(-1262430)</f>
        <v>1262430</v>
      </c>
      <c r="N24" s="30">
        <f t="shared" si="13"/>
        <v>0</v>
      </c>
      <c r="O24" s="30">
        <f>-N(-1310069)</f>
        <v>1310069</v>
      </c>
      <c r="P24" s="169">
        <f t="shared" si="2"/>
        <v>11915127</v>
      </c>
    </row>
    <row r="25" spans="1:16" outlineLevel="1" collapsed="1">
      <c r="A25" s="22"/>
      <c r="B25" s="35" t="str">
        <f>"    "&amp;"Offentlige tilskudd og refusjoner"</f>
        <v xml:space="preserve">    Offentlige tilskudd og refusjoner</v>
      </c>
      <c r="C25" s="36"/>
      <c r="D25" s="33">
        <f t="shared" ref="D25:O25" si="15">SUM(D21:D24)</f>
        <v>3123387.71</v>
      </c>
      <c r="E25" s="33">
        <f t="shared" si="15"/>
        <v>5728572</v>
      </c>
      <c r="F25" s="33">
        <f t="shared" si="15"/>
        <v>0</v>
      </c>
      <c r="G25" s="33">
        <f t="shared" si="15"/>
        <v>2566001</v>
      </c>
      <c r="H25" s="33">
        <f t="shared" si="15"/>
        <v>0</v>
      </c>
      <c r="I25" s="33">
        <f t="shared" si="15"/>
        <v>595486</v>
      </c>
      <c r="J25" s="33">
        <f t="shared" si="15"/>
        <v>333472</v>
      </c>
      <c r="K25" s="33">
        <f t="shared" si="15"/>
        <v>0</v>
      </c>
      <c r="L25" s="33">
        <f t="shared" si="15"/>
        <v>119097</v>
      </c>
      <c r="M25" s="33">
        <f t="shared" si="15"/>
        <v>1262430</v>
      </c>
      <c r="N25" s="33">
        <f t="shared" si="15"/>
        <v>11670</v>
      </c>
      <c r="O25" s="33">
        <f t="shared" si="15"/>
        <v>1310069</v>
      </c>
      <c r="P25" s="170">
        <f t="shared" si="2"/>
        <v>15050184.710000001</v>
      </c>
    </row>
    <row r="26" spans="1:16" hidden="1" outlineLevel="2">
      <c r="A26" s="22"/>
      <c r="B26" s="28">
        <v>3210</v>
      </c>
      <c r="C26" s="29" t="s">
        <v>27</v>
      </c>
      <c r="D26" s="30">
        <f t="shared" ref="D26:D27" si="16">-N(0)</f>
        <v>0</v>
      </c>
      <c r="E26" s="30">
        <f>-N(-5176637.44)</f>
        <v>5176637.4400000004</v>
      </c>
      <c r="F26" s="30">
        <f t="shared" ref="F26:G29" si="17">-N(0)</f>
        <v>0</v>
      </c>
      <c r="G26" s="30">
        <f>-N(-2313881.6)</f>
        <v>2313881.6000000001</v>
      </c>
      <c r="H26" s="30">
        <f t="shared" ref="H26:K29" si="18">-N(0)</f>
        <v>0</v>
      </c>
      <c r="I26" s="30">
        <f>-N(-538112)</f>
        <v>538112</v>
      </c>
      <c r="J26" s="30">
        <f>-N(-301342.72)</f>
        <v>301342.71999999997</v>
      </c>
      <c r="K26" s="30">
        <f>-N(0)</f>
        <v>0</v>
      </c>
      <c r="L26" s="30">
        <f>-N(-107622.4)</f>
        <v>107622.39999999999</v>
      </c>
      <c r="M26" s="30">
        <f>-N(-1140797.44)</f>
        <v>1140797.4399999999</v>
      </c>
      <c r="N26" s="30">
        <f t="shared" ref="N26:O29" si="19">-N(0)</f>
        <v>0</v>
      </c>
      <c r="O26" s="30">
        <f>-N(-1183846.4)</f>
        <v>1183846.3999999999</v>
      </c>
      <c r="P26" s="169">
        <f t="shared" si="2"/>
        <v>10762240</v>
      </c>
    </row>
    <row r="27" spans="1:16" hidden="1" outlineLevel="2">
      <c r="A27" s="22"/>
      <c r="B27" s="28">
        <v>3212</v>
      </c>
      <c r="C27" s="29" t="s">
        <v>28</v>
      </c>
      <c r="D27" s="30">
        <f t="shared" si="16"/>
        <v>0</v>
      </c>
      <c r="E27" s="30">
        <f>-N(0)</f>
        <v>0</v>
      </c>
      <c r="F27" s="30">
        <f t="shared" si="17"/>
        <v>0</v>
      </c>
      <c r="G27" s="30">
        <f t="shared" si="17"/>
        <v>0</v>
      </c>
      <c r="H27" s="30">
        <f t="shared" si="18"/>
        <v>0</v>
      </c>
      <c r="I27" s="30">
        <f t="shared" si="18"/>
        <v>0</v>
      </c>
      <c r="J27" s="30">
        <f t="shared" si="18"/>
        <v>0</v>
      </c>
      <c r="K27" s="30">
        <f>-N(-2690560)</f>
        <v>2690560</v>
      </c>
      <c r="L27" s="30">
        <f t="shared" ref="L27:M29" si="20">-N(0)</f>
        <v>0</v>
      </c>
      <c r="M27" s="30">
        <f t="shared" si="20"/>
        <v>0</v>
      </c>
      <c r="N27" s="30">
        <f t="shared" si="19"/>
        <v>0</v>
      </c>
      <c r="O27" s="30">
        <f t="shared" si="19"/>
        <v>0</v>
      </c>
      <c r="P27" s="169">
        <f t="shared" si="2"/>
        <v>2690560</v>
      </c>
    </row>
    <row r="28" spans="1:16" hidden="1" outlineLevel="2">
      <c r="A28" s="22"/>
      <c r="B28" s="28">
        <v>3215</v>
      </c>
      <c r="C28" s="29" t="s">
        <v>73</v>
      </c>
      <c r="D28" s="30">
        <f>-N(645721.44)</f>
        <v>-645721.43999999994</v>
      </c>
      <c r="E28" s="30">
        <f>-N(2604278.56)</f>
        <v>-2604278.56</v>
      </c>
      <c r="F28" s="30">
        <f t="shared" si="17"/>
        <v>0</v>
      </c>
      <c r="G28" s="30">
        <f t="shared" si="17"/>
        <v>0</v>
      </c>
      <c r="H28" s="30">
        <f t="shared" si="18"/>
        <v>0</v>
      </c>
      <c r="I28" s="30">
        <f t="shared" si="18"/>
        <v>0</v>
      </c>
      <c r="J28" s="30">
        <f t="shared" si="18"/>
        <v>0</v>
      </c>
      <c r="K28" s="30">
        <f t="shared" si="18"/>
        <v>0</v>
      </c>
      <c r="L28" s="30">
        <f t="shared" si="20"/>
        <v>0</v>
      </c>
      <c r="M28" s="30">
        <f t="shared" si="20"/>
        <v>0</v>
      </c>
      <c r="N28" s="30">
        <f>-N(-3250000)</f>
        <v>3250000</v>
      </c>
      <c r="O28" s="30">
        <f t="shared" si="19"/>
        <v>0</v>
      </c>
      <c r="P28" s="169">
        <f t="shared" si="2"/>
        <v>0</v>
      </c>
    </row>
    <row r="29" spans="1:16" hidden="1" outlineLevel="2">
      <c r="A29" s="22"/>
      <c r="B29" s="28">
        <v>3230</v>
      </c>
      <c r="C29" s="29" t="s">
        <v>74</v>
      </c>
      <c r="D29" s="30">
        <f>-N(-9156591.93)</f>
        <v>9156591.9299999997</v>
      </c>
      <c r="E29" s="30">
        <f>-N(0)</f>
        <v>0</v>
      </c>
      <c r="F29" s="30">
        <f t="shared" si="17"/>
        <v>0</v>
      </c>
      <c r="G29" s="30">
        <f t="shared" si="17"/>
        <v>0</v>
      </c>
      <c r="H29" s="30">
        <f t="shared" si="18"/>
        <v>0</v>
      </c>
      <c r="I29" s="30">
        <f t="shared" si="18"/>
        <v>0</v>
      </c>
      <c r="J29" s="30">
        <f t="shared" si="18"/>
        <v>0</v>
      </c>
      <c r="K29" s="30">
        <f t="shared" si="18"/>
        <v>0</v>
      </c>
      <c r="L29" s="30">
        <f t="shared" si="20"/>
        <v>0</v>
      </c>
      <c r="M29" s="30">
        <f t="shared" si="20"/>
        <v>0</v>
      </c>
      <c r="N29" s="30">
        <f>-N(0)</f>
        <v>0</v>
      </c>
      <c r="O29" s="30">
        <f t="shared" si="19"/>
        <v>0</v>
      </c>
      <c r="P29" s="169">
        <f t="shared" si="2"/>
        <v>9156591.9299999997</v>
      </c>
    </row>
    <row r="30" spans="1:16" outlineLevel="1" collapsed="1">
      <c r="A30" s="22"/>
      <c r="B30" s="35" t="str">
        <f>"    "&amp;"Tilskudd frikirkens menigheter"</f>
        <v xml:space="preserve">    Tilskudd frikirkens menigheter</v>
      </c>
      <c r="C30" s="36"/>
      <c r="D30" s="33">
        <f t="shared" ref="D30:O30" si="21">SUM(D26:D29)</f>
        <v>8510870.4900000002</v>
      </c>
      <c r="E30" s="33">
        <f t="shared" si="21"/>
        <v>2572358.8800000004</v>
      </c>
      <c r="F30" s="33">
        <f t="shared" si="21"/>
        <v>0</v>
      </c>
      <c r="G30" s="33">
        <f t="shared" si="21"/>
        <v>2313881.6000000001</v>
      </c>
      <c r="H30" s="33">
        <f t="shared" si="21"/>
        <v>0</v>
      </c>
      <c r="I30" s="33">
        <f t="shared" si="21"/>
        <v>538112</v>
      </c>
      <c r="J30" s="33">
        <f t="shared" si="21"/>
        <v>301342.71999999997</v>
      </c>
      <c r="K30" s="33">
        <f t="shared" si="21"/>
        <v>2690560</v>
      </c>
      <c r="L30" s="33">
        <f t="shared" si="21"/>
        <v>107622.39999999999</v>
      </c>
      <c r="M30" s="33">
        <f t="shared" si="21"/>
        <v>1140797.4399999999</v>
      </c>
      <c r="N30" s="33">
        <f t="shared" si="21"/>
        <v>3250000</v>
      </c>
      <c r="O30" s="33">
        <f t="shared" si="21"/>
        <v>1183846.3999999999</v>
      </c>
      <c r="P30" s="170">
        <f t="shared" si="2"/>
        <v>22609391.93</v>
      </c>
    </row>
    <row r="31" spans="1:16" hidden="1" outlineLevel="2">
      <c r="A31" s="22"/>
      <c r="B31" s="28">
        <v>3807</v>
      </c>
      <c r="C31" s="29" t="s">
        <v>75</v>
      </c>
      <c r="D31" s="30">
        <f>-N(0)</f>
        <v>0</v>
      </c>
      <c r="E31" s="30">
        <f>-N(-15000)</f>
        <v>15000</v>
      </c>
      <c r="F31" s="30">
        <f t="shared" ref="F31:O31" si="22">-N(0)</f>
        <v>0</v>
      </c>
      <c r="G31" s="30">
        <f t="shared" si="22"/>
        <v>0</v>
      </c>
      <c r="H31" s="30">
        <f t="shared" si="22"/>
        <v>0</v>
      </c>
      <c r="I31" s="30">
        <f t="shared" si="22"/>
        <v>0</v>
      </c>
      <c r="J31" s="30">
        <f t="shared" si="22"/>
        <v>0</v>
      </c>
      <c r="K31" s="30">
        <f t="shared" si="22"/>
        <v>0</v>
      </c>
      <c r="L31" s="30">
        <f t="shared" si="22"/>
        <v>0</v>
      </c>
      <c r="M31" s="30">
        <f t="shared" si="22"/>
        <v>0</v>
      </c>
      <c r="N31" s="30">
        <f t="shared" si="22"/>
        <v>0</v>
      </c>
      <c r="O31" s="30">
        <f t="shared" si="22"/>
        <v>0</v>
      </c>
      <c r="P31" s="169">
        <f t="shared" si="2"/>
        <v>15000</v>
      </c>
    </row>
    <row r="32" spans="1:16" outlineLevel="1" collapsed="1">
      <c r="A32" s="22"/>
      <c r="B32" s="35" t="str">
        <f>"    "&amp;"Gevinst ved avgang av anleggsmidler"</f>
        <v xml:space="preserve">    Gevinst ved avgang av anleggsmidler</v>
      </c>
      <c r="C32" s="36"/>
      <c r="D32" s="33">
        <f t="shared" ref="D32:O32" si="23">SUM(D31)</f>
        <v>0</v>
      </c>
      <c r="E32" s="33">
        <f t="shared" si="23"/>
        <v>15000</v>
      </c>
      <c r="F32" s="33">
        <f t="shared" si="23"/>
        <v>0</v>
      </c>
      <c r="G32" s="33">
        <f t="shared" si="23"/>
        <v>0</v>
      </c>
      <c r="H32" s="33">
        <f t="shared" si="23"/>
        <v>0</v>
      </c>
      <c r="I32" s="33">
        <f t="shared" si="23"/>
        <v>0</v>
      </c>
      <c r="J32" s="33">
        <f t="shared" si="23"/>
        <v>0</v>
      </c>
      <c r="K32" s="33">
        <f t="shared" si="23"/>
        <v>0</v>
      </c>
      <c r="L32" s="33">
        <f t="shared" si="23"/>
        <v>0</v>
      </c>
      <c r="M32" s="33">
        <f t="shared" si="23"/>
        <v>0</v>
      </c>
      <c r="N32" s="33">
        <f t="shared" si="23"/>
        <v>0</v>
      </c>
      <c r="O32" s="33">
        <f t="shared" si="23"/>
        <v>0</v>
      </c>
      <c r="P32" s="170">
        <f t="shared" si="2"/>
        <v>15000</v>
      </c>
    </row>
    <row r="33" spans="1:16" hidden="1" outlineLevel="2">
      <c r="A33" s="22"/>
      <c r="B33" s="28">
        <v>3455</v>
      </c>
      <c r="C33" s="29" t="s">
        <v>77</v>
      </c>
      <c r="D33" s="30">
        <f>-N(0)</f>
        <v>0</v>
      </c>
      <c r="E33" s="30">
        <f>-N(-1493808)</f>
        <v>1493808</v>
      </c>
      <c r="F33" s="30">
        <f t="shared" ref="F33:O35" si="24">-N(0)</f>
        <v>0</v>
      </c>
      <c r="G33" s="30">
        <f t="shared" si="24"/>
        <v>0</v>
      </c>
      <c r="H33" s="30">
        <f t="shared" si="24"/>
        <v>0</v>
      </c>
      <c r="I33" s="30">
        <f t="shared" si="24"/>
        <v>0</v>
      </c>
      <c r="J33" s="30">
        <f t="shared" si="24"/>
        <v>0</v>
      </c>
      <c r="K33" s="30">
        <f t="shared" si="24"/>
        <v>0</v>
      </c>
      <c r="L33" s="30">
        <f t="shared" si="24"/>
        <v>0</v>
      </c>
      <c r="M33" s="30">
        <f t="shared" si="24"/>
        <v>0</v>
      </c>
      <c r="N33" s="30">
        <f t="shared" si="24"/>
        <v>0</v>
      </c>
      <c r="O33" s="30">
        <f t="shared" si="24"/>
        <v>0</v>
      </c>
      <c r="P33" s="169">
        <f t="shared" si="2"/>
        <v>1493808</v>
      </c>
    </row>
    <row r="34" spans="1:16" hidden="1" outlineLevel="2">
      <c r="A34" s="22"/>
      <c r="B34" s="28">
        <v>3600</v>
      </c>
      <c r="C34" s="29" t="s">
        <v>78</v>
      </c>
      <c r="D34" s="30">
        <f>-N(-416271.69)</f>
        <v>416271.69</v>
      </c>
      <c r="E34" s="30">
        <f>-N(0)</f>
        <v>0</v>
      </c>
      <c r="F34" s="30">
        <f t="shared" si="24"/>
        <v>0</v>
      </c>
      <c r="G34" s="30">
        <f t="shared" si="24"/>
        <v>0</v>
      </c>
      <c r="H34" s="30">
        <f t="shared" si="24"/>
        <v>0</v>
      </c>
      <c r="I34" s="30">
        <f t="shared" si="24"/>
        <v>0</v>
      </c>
      <c r="J34" s="30">
        <f t="shared" si="24"/>
        <v>0</v>
      </c>
      <c r="K34" s="30">
        <f t="shared" si="24"/>
        <v>0</v>
      </c>
      <c r="L34" s="30">
        <f t="shared" si="24"/>
        <v>0</v>
      </c>
      <c r="M34" s="30">
        <f t="shared" si="24"/>
        <v>0</v>
      </c>
      <c r="N34" s="30">
        <f t="shared" si="24"/>
        <v>0</v>
      </c>
      <c r="O34" s="30">
        <f t="shared" si="24"/>
        <v>0</v>
      </c>
      <c r="P34" s="169">
        <f t="shared" si="2"/>
        <v>416271.69</v>
      </c>
    </row>
    <row r="35" spans="1:16" hidden="1" outlineLevel="2">
      <c r="A35" s="22"/>
      <c r="B35" s="28">
        <v>3900</v>
      </c>
      <c r="C35" s="29" t="s">
        <v>79</v>
      </c>
      <c r="D35" s="30">
        <f>-N(0)</f>
        <v>0</v>
      </c>
      <c r="E35" s="30">
        <f>-N(-584.62)</f>
        <v>584.62</v>
      </c>
      <c r="F35" s="30">
        <f t="shared" si="24"/>
        <v>0</v>
      </c>
      <c r="G35" s="30">
        <f>-N(-2916)</f>
        <v>2916</v>
      </c>
      <c r="H35" s="30">
        <f>-N(-2000)</f>
        <v>2000</v>
      </c>
      <c r="I35" s="30">
        <f>-N(-51030)</f>
        <v>51030</v>
      </c>
      <c r="J35" s="30">
        <f t="shared" si="24"/>
        <v>0</v>
      </c>
      <c r="K35" s="30">
        <f t="shared" si="24"/>
        <v>0</v>
      </c>
      <c r="L35" s="30">
        <f t="shared" si="24"/>
        <v>0</v>
      </c>
      <c r="M35" s="30">
        <f t="shared" si="24"/>
        <v>0</v>
      </c>
      <c r="N35" s="30">
        <f t="shared" si="24"/>
        <v>0</v>
      </c>
      <c r="O35" s="30">
        <f t="shared" si="24"/>
        <v>0</v>
      </c>
      <c r="P35" s="169">
        <f t="shared" si="2"/>
        <v>56530.62</v>
      </c>
    </row>
    <row r="36" spans="1:16" outlineLevel="1" collapsed="1">
      <c r="A36" s="22"/>
      <c r="B36" s="35" t="str">
        <f>"    "&amp;"Annen driftsrelatert inntekt"</f>
        <v xml:space="preserve">    Annen driftsrelatert inntekt</v>
      </c>
      <c r="C36" s="36"/>
      <c r="D36" s="33">
        <f t="shared" ref="D36:O36" si="25">SUM(D33:D35)</f>
        <v>416271.69</v>
      </c>
      <c r="E36" s="33">
        <f t="shared" si="25"/>
        <v>1494392.62</v>
      </c>
      <c r="F36" s="33">
        <f t="shared" si="25"/>
        <v>0</v>
      </c>
      <c r="G36" s="33">
        <f t="shared" si="25"/>
        <v>2916</v>
      </c>
      <c r="H36" s="33">
        <f t="shared" si="25"/>
        <v>2000</v>
      </c>
      <c r="I36" s="33">
        <f t="shared" si="25"/>
        <v>51030</v>
      </c>
      <c r="J36" s="33">
        <f t="shared" si="25"/>
        <v>0</v>
      </c>
      <c r="K36" s="33">
        <f t="shared" si="25"/>
        <v>0</v>
      </c>
      <c r="L36" s="33">
        <f t="shared" si="25"/>
        <v>0</v>
      </c>
      <c r="M36" s="33">
        <f t="shared" si="25"/>
        <v>0</v>
      </c>
      <c r="N36" s="33">
        <f t="shared" si="25"/>
        <v>0</v>
      </c>
      <c r="O36" s="33">
        <f t="shared" si="25"/>
        <v>0</v>
      </c>
      <c r="P36" s="170">
        <f t="shared" si="2"/>
        <v>1966610.31</v>
      </c>
    </row>
    <row r="37" spans="1:16">
      <c r="A37" s="22"/>
      <c r="B37" s="41" t="s">
        <v>80</v>
      </c>
      <c r="C37" s="42"/>
      <c r="D37" s="44">
        <f ca="1">SUM(OSRRefD8_2x_0)</f>
        <v>12050529.889999999</v>
      </c>
      <c r="E37" s="44">
        <f ca="1">SUM(OSRRefD8_2x_1)</f>
        <v>9810323.5</v>
      </c>
      <c r="F37" s="44">
        <f ca="1">SUM(OSRRefD8_2x_2)</f>
        <v>0</v>
      </c>
      <c r="G37" s="44">
        <f ca="1">SUM(OSRRefD8_2x_3)</f>
        <v>4882798.5999999996</v>
      </c>
      <c r="H37" s="44">
        <f ca="1">SUM(OSRRefD8_2x_4)</f>
        <v>2000</v>
      </c>
      <c r="I37" s="44">
        <f ca="1">SUM(OSRRefD8_2x_5)</f>
        <v>1184628</v>
      </c>
      <c r="J37" s="44">
        <f ca="1">SUM(OSRRefD8_2x_12)</f>
        <v>634814.71999999997</v>
      </c>
      <c r="K37" s="44">
        <f ca="1">SUM(OSRRefD8_2x_13)</f>
        <v>2690560</v>
      </c>
      <c r="L37" s="44">
        <f ca="1">SUM(OSRRefD8_2x_14)</f>
        <v>226719.4</v>
      </c>
      <c r="M37" s="44">
        <f ca="1">SUM(OSRRefD8_2x_15)</f>
        <v>2403227.44</v>
      </c>
      <c r="N37" s="44">
        <f ca="1">SUM(OSRRefD8_2x_16)</f>
        <v>3261670</v>
      </c>
      <c r="O37" s="44">
        <f ca="1">SUM(OSRRefD8_2x_17)</f>
        <v>2493915.4</v>
      </c>
      <c r="P37" s="171">
        <f t="shared" ca="1" si="2"/>
        <v>39641186.949999996</v>
      </c>
    </row>
    <row r="38" spans="1:16">
      <c r="A38" s="22"/>
      <c r="B38" s="48" t="s">
        <v>348</v>
      </c>
      <c r="C38" s="172"/>
      <c r="D38" s="51">
        <f ca="1">SUM(OSRRefD9x_0)</f>
        <v>15019848.739999998</v>
      </c>
      <c r="E38" s="51">
        <f ca="1">SUM(OSRRefD9x_1)</f>
        <v>9812489</v>
      </c>
      <c r="F38" s="51">
        <f ca="1">SUM(OSRRefD9x_2)</f>
        <v>23653.25</v>
      </c>
      <c r="G38" s="51">
        <f ca="1">SUM(OSRRefD9x_3)</f>
        <v>4882798.5999999996</v>
      </c>
      <c r="H38" s="51">
        <f ca="1">SUM(OSRRefD9x_4)</f>
        <v>1780759.6</v>
      </c>
      <c r="I38" s="51">
        <f ca="1">SUM(OSRRefD9x_5)</f>
        <v>1160178</v>
      </c>
      <c r="J38" s="51">
        <f t="shared" ref="J38:O38" ca="1" si="26">SUM(J15,J20,J37)</f>
        <v>634814.71999999997</v>
      </c>
      <c r="K38" s="51">
        <f t="shared" ca="1" si="26"/>
        <v>2690560</v>
      </c>
      <c r="L38" s="51">
        <f t="shared" ca="1" si="26"/>
        <v>226719.4</v>
      </c>
      <c r="M38" s="51">
        <f t="shared" ca="1" si="26"/>
        <v>2887247.44</v>
      </c>
      <c r="N38" s="51">
        <f t="shared" ca="1" si="26"/>
        <v>3342190</v>
      </c>
      <c r="O38" s="51">
        <f t="shared" ca="1" si="26"/>
        <v>2493915.4</v>
      </c>
      <c r="P38" s="173">
        <f t="shared" ca="1" si="2"/>
        <v>44955174.149999991</v>
      </c>
    </row>
    <row r="39" spans="1:16" ht="9" customHeight="1">
      <c r="A39" s="22"/>
      <c r="B39" s="23"/>
      <c r="C39" s="24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168"/>
    </row>
    <row r="40" spans="1:16" hidden="1" outlineLevel="2">
      <c r="A40" s="22"/>
      <c r="B40" s="28">
        <v>4301</v>
      </c>
      <c r="C40" s="29" t="s">
        <v>81</v>
      </c>
      <c r="D40" s="30">
        <f t="shared" ref="D40:H42" si="27">N(0)</f>
        <v>0</v>
      </c>
      <c r="E40" s="30">
        <f t="shared" si="27"/>
        <v>0</v>
      </c>
      <c r="F40" s="30">
        <f t="shared" si="27"/>
        <v>0</v>
      </c>
      <c r="G40" s="30">
        <f t="shared" si="27"/>
        <v>0</v>
      </c>
      <c r="H40" s="30">
        <f>N(205504.23)</f>
        <v>205504.23</v>
      </c>
      <c r="I40" s="30">
        <f t="shared" ref="I40:O42" si="28">N(0)</f>
        <v>0</v>
      </c>
      <c r="J40" s="30">
        <f t="shared" si="28"/>
        <v>0</v>
      </c>
      <c r="K40" s="30">
        <f t="shared" si="28"/>
        <v>0</v>
      </c>
      <c r="L40" s="30">
        <f t="shared" si="28"/>
        <v>0</v>
      </c>
      <c r="M40" s="30">
        <f t="shared" si="28"/>
        <v>0</v>
      </c>
      <c r="N40" s="30">
        <f t="shared" si="28"/>
        <v>0</v>
      </c>
      <c r="O40" s="30">
        <f t="shared" si="28"/>
        <v>0</v>
      </c>
      <c r="P40" s="169">
        <f>SUM(D40:O40)</f>
        <v>205504.23</v>
      </c>
    </row>
    <row r="41" spans="1:16" hidden="1" outlineLevel="2">
      <c r="A41" s="22"/>
      <c r="B41" s="28">
        <v>4305</v>
      </c>
      <c r="C41" s="29" t="s">
        <v>82</v>
      </c>
      <c r="D41" s="30">
        <f t="shared" si="27"/>
        <v>0</v>
      </c>
      <c r="E41" s="30">
        <f t="shared" si="27"/>
        <v>0</v>
      </c>
      <c r="F41" s="30">
        <f>N(47372)</f>
        <v>47372</v>
      </c>
      <c r="G41" s="30">
        <f t="shared" si="27"/>
        <v>0</v>
      </c>
      <c r="H41" s="30">
        <f t="shared" si="27"/>
        <v>0</v>
      </c>
      <c r="I41" s="30">
        <f t="shared" si="28"/>
        <v>0</v>
      </c>
      <c r="J41" s="30">
        <f t="shared" si="28"/>
        <v>0</v>
      </c>
      <c r="K41" s="30">
        <f t="shared" si="28"/>
        <v>0</v>
      </c>
      <c r="L41" s="30">
        <f t="shared" si="28"/>
        <v>0</v>
      </c>
      <c r="M41" s="30">
        <f t="shared" si="28"/>
        <v>0</v>
      </c>
      <c r="N41" s="30">
        <f t="shared" si="28"/>
        <v>0</v>
      </c>
      <c r="O41" s="30">
        <f t="shared" si="28"/>
        <v>0</v>
      </c>
      <c r="P41" s="169">
        <f>SUM(D41:O41)</f>
        <v>47372</v>
      </c>
    </row>
    <row r="42" spans="1:16" hidden="1" outlineLevel="2">
      <c r="A42" s="22"/>
      <c r="B42" s="28">
        <v>4360</v>
      </c>
      <c r="C42" s="29" t="s">
        <v>83</v>
      </c>
      <c r="D42" s="30">
        <f t="shared" si="27"/>
        <v>0</v>
      </c>
      <c r="E42" s="30">
        <f t="shared" si="27"/>
        <v>0</v>
      </c>
      <c r="F42" s="30">
        <f>N(28627.5)</f>
        <v>28627.5</v>
      </c>
      <c r="G42" s="30">
        <f t="shared" si="27"/>
        <v>0</v>
      </c>
      <c r="H42" s="30">
        <f t="shared" si="27"/>
        <v>0</v>
      </c>
      <c r="I42" s="30">
        <f t="shared" si="28"/>
        <v>0</v>
      </c>
      <c r="J42" s="30">
        <f t="shared" si="28"/>
        <v>0</v>
      </c>
      <c r="K42" s="30">
        <f t="shared" si="28"/>
        <v>0</v>
      </c>
      <c r="L42" s="30">
        <f t="shared" si="28"/>
        <v>0</v>
      </c>
      <c r="M42" s="30">
        <f t="shared" si="28"/>
        <v>0</v>
      </c>
      <c r="N42" s="30">
        <f t="shared" si="28"/>
        <v>0</v>
      </c>
      <c r="O42" s="30">
        <f t="shared" si="28"/>
        <v>0</v>
      </c>
      <c r="P42" s="169">
        <f>SUM(D42:O42)</f>
        <v>28627.5</v>
      </c>
    </row>
    <row r="43" spans="1:16" outlineLevel="1" collapsed="1">
      <c r="A43" s="22"/>
      <c r="B43" s="35" t="str">
        <f>"    "&amp;"Forbruk av innkjøpte varer for videresalg"</f>
        <v xml:space="preserve">    Forbruk av innkjøpte varer for videresalg</v>
      </c>
      <c r="C43" s="36"/>
      <c r="D43" s="33">
        <f t="shared" ref="D43:P43" si="29">SUM(D40:D42)</f>
        <v>0</v>
      </c>
      <c r="E43" s="33">
        <f t="shared" si="29"/>
        <v>0</v>
      </c>
      <c r="F43" s="33">
        <f t="shared" si="29"/>
        <v>75999.5</v>
      </c>
      <c r="G43" s="33">
        <f t="shared" si="29"/>
        <v>0</v>
      </c>
      <c r="H43" s="33">
        <f t="shared" si="29"/>
        <v>205504.23</v>
      </c>
      <c r="I43" s="33">
        <f t="shared" si="29"/>
        <v>0</v>
      </c>
      <c r="J43" s="33">
        <f t="shared" si="29"/>
        <v>0</v>
      </c>
      <c r="K43" s="33">
        <f t="shared" si="29"/>
        <v>0</v>
      </c>
      <c r="L43" s="33">
        <f t="shared" si="29"/>
        <v>0</v>
      </c>
      <c r="M43" s="33">
        <f t="shared" si="29"/>
        <v>0</v>
      </c>
      <c r="N43" s="33">
        <f t="shared" si="29"/>
        <v>0</v>
      </c>
      <c r="O43" s="33">
        <f t="shared" si="29"/>
        <v>0</v>
      </c>
      <c r="P43" s="170">
        <f t="shared" si="29"/>
        <v>281503.73</v>
      </c>
    </row>
    <row r="44" spans="1:16">
      <c r="A44" s="22"/>
      <c r="B44" s="41" t="s">
        <v>16</v>
      </c>
      <c r="C44" s="42"/>
      <c r="D44" s="44">
        <f t="shared" ref="D44:P44" si="30">SUM(D43)</f>
        <v>0</v>
      </c>
      <c r="E44" s="44">
        <f t="shared" si="30"/>
        <v>0</v>
      </c>
      <c r="F44" s="44">
        <f t="shared" si="30"/>
        <v>75999.5</v>
      </c>
      <c r="G44" s="44">
        <f t="shared" si="30"/>
        <v>0</v>
      </c>
      <c r="H44" s="44">
        <f t="shared" si="30"/>
        <v>205504.23</v>
      </c>
      <c r="I44" s="44">
        <f t="shared" si="30"/>
        <v>0</v>
      </c>
      <c r="J44" s="44">
        <f t="shared" si="30"/>
        <v>0</v>
      </c>
      <c r="K44" s="44">
        <f t="shared" si="30"/>
        <v>0</v>
      </c>
      <c r="L44" s="44">
        <f t="shared" si="30"/>
        <v>0</v>
      </c>
      <c r="M44" s="44">
        <f t="shared" si="30"/>
        <v>0</v>
      </c>
      <c r="N44" s="44">
        <f t="shared" si="30"/>
        <v>0</v>
      </c>
      <c r="O44" s="44">
        <f t="shared" si="30"/>
        <v>0</v>
      </c>
      <c r="P44" s="171">
        <f t="shared" si="30"/>
        <v>281503.73</v>
      </c>
    </row>
    <row r="45" spans="1:16" hidden="1" outlineLevel="2">
      <c r="A45" s="22"/>
      <c r="B45" s="28">
        <v>5000</v>
      </c>
      <c r="C45" s="29" t="s">
        <v>84</v>
      </c>
      <c r="D45" s="30">
        <f>N(1374750.2)</f>
        <v>1374750.2</v>
      </c>
      <c r="E45" s="30">
        <f>N(3616128.57)</f>
        <v>3616128.57</v>
      </c>
      <c r="F45" s="30">
        <f>N(102796.99)</f>
        <v>102796.99</v>
      </c>
      <c r="G45" s="30">
        <f t="shared" ref="G45:H53" si="31">N(0)</f>
        <v>0</v>
      </c>
      <c r="H45" s="30">
        <f>N(123212.99)</f>
        <v>123212.99</v>
      </c>
      <c r="I45" s="30">
        <f t="shared" ref="I45:L53" si="32">N(0)</f>
        <v>0</v>
      </c>
      <c r="J45" s="30">
        <f t="shared" si="32"/>
        <v>0</v>
      </c>
      <c r="K45" s="30">
        <f>N(1818150.34)</f>
        <v>1818150.34</v>
      </c>
      <c r="L45" s="30">
        <f t="shared" ref="L45:N50" si="33">N(0)</f>
        <v>0</v>
      </c>
      <c r="M45" s="30">
        <f>N(744390.18)</f>
        <v>744390.18</v>
      </c>
      <c r="N45" s="30">
        <f>N(1292391.09)</f>
        <v>1292391.0900000001</v>
      </c>
      <c r="O45" s="30">
        <f t="shared" ref="O45:O53" si="34">N(0)</f>
        <v>0</v>
      </c>
      <c r="P45" s="169">
        <f t="shared" ref="P45:P53" si="35">SUM(D45:O45)</f>
        <v>9071820.3599999994</v>
      </c>
    </row>
    <row r="46" spans="1:16" hidden="1" outlineLevel="2">
      <c r="A46" s="22"/>
      <c r="B46" s="28">
        <v>5001</v>
      </c>
      <c r="C46" s="29" t="s">
        <v>85</v>
      </c>
      <c r="D46" s="30">
        <f>N(108190.75)</f>
        <v>108190.75</v>
      </c>
      <c r="E46" s="30">
        <f t="shared" ref="E46:F49" si="36">N(0)</f>
        <v>0</v>
      </c>
      <c r="F46" s="30">
        <f t="shared" si="36"/>
        <v>0</v>
      </c>
      <c r="G46" s="30">
        <f t="shared" si="31"/>
        <v>0</v>
      </c>
      <c r="H46" s="30">
        <f t="shared" si="31"/>
        <v>0</v>
      </c>
      <c r="I46" s="30">
        <f t="shared" si="32"/>
        <v>0</v>
      </c>
      <c r="J46" s="30">
        <f t="shared" si="32"/>
        <v>0</v>
      </c>
      <c r="K46" s="30">
        <f t="shared" si="32"/>
        <v>0</v>
      </c>
      <c r="L46" s="30">
        <f t="shared" si="33"/>
        <v>0</v>
      </c>
      <c r="M46" s="30">
        <f t="shared" si="33"/>
        <v>0</v>
      </c>
      <c r="N46" s="30">
        <f t="shared" si="33"/>
        <v>0</v>
      </c>
      <c r="O46" s="30">
        <f t="shared" si="34"/>
        <v>0</v>
      </c>
      <c r="P46" s="169">
        <f t="shared" si="35"/>
        <v>108190.75</v>
      </c>
    </row>
    <row r="47" spans="1:16" hidden="1" outlineLevel="2">
      <c r="A47" s="22"/>
      <c r="B47" s="28">
        <v>5002</v>
      </c>
      <c r="C47" s="29" t="s">
        <v>86</v>
      </c>
      <c r="D47" s="30">
        <f>N(2464402)</f>
        <v>2464402</v>
      </c>
      <c r="E47" s="30">
        <f t="shared" si="36"/>
        <v>0</v>
      </c>
      <c r="F47" s="30">
        <f t="shared" si="36"/>
        <v>0</v>
      </c>
      <c r="G47" s="30">
        <f t="shared" si="31"/>
        <v>0</v>
      </c>
      <c r="H47" s="30">
        <f t="shared" si="31"/>
        <v>0</v>
      </c>
      <c r="I47" s="30">
        <f t="shared" si="32"/>
        <v>0</v>
      </c>
      <c r="J47" s="30">
        <f t="shared" si="32"/>
        <v>0</v>
      </c>
      <c r="K47" s="30">
        <f t="shared" si="32"/>
        <v>0</v>
      </c>
      <c r="L47" s="30">
        <f t="shared" si="33"/>
        <v>0</v>
      </c>
      <c r="M47" s="30">
        <f t="shared" si="33"/>
        <v>0</v>
      </c>
      <c r="N47" s="30">
        <f t="shared" si="33"/>
        <v>0</v>
      </c>
      <c r="O47" s="30">
        <f t="shared" si="34"/>
        <v>0</v>
      </c>
      <c r="P47" s="169">
        <f t="shared" si="35"/>
        <v>2464402</v>
      </c>
    </row>
    <row r="48" spans="1:16" hidden="1" outlineLevel="2">
      <c r="A48" s="22"/>
      <c r="B48" s="28">
        <v>5007</v>
      </c>
      <c r="C48" s="29" t="s">
        <v>89</v>
      </c>
      <c r="D48" s="30">
        <f>N(80240)</f>
        <v>80240</v>
      </c>
      <c r="E48" s="30">
        <f t="shared" si="36"/>
        <v>0</v>
      </c>
      <c r="F48" s="30">
        <f t="shared" si="36"/>
        <v>0</v>
      </c>
      <c r="G48" s="30">
        <f t="shared" si="31"/>
        <v>0</v>
      </c>
      <c r="H48" s="30">
        <f t="shared" si="31"/>
        <v>0</v>
      </c>
      <c r="I48" s="30">
        <f t="shared" si="32"/>
        <v>0</v>
      </c>
      <c r="J48" s="30">
        <f t="shared" si="32"/>
        <v>0</v>
      </c>
      <c r="K48" s="30">
        <f t="shared" si="32"/>
        <v>0</v>
      </c>
      <c r="L48" s="30">
        <f t="shared" si="33"/>
        <v>0</v>
      </c>
      <c r="M48" s="30">
        <f t="shared" si="33"/>
        <v>0</v>
      </c>
      <c r="N48" s="30">
        <f t="shared" si="33"/>
        <v>0</v>
      </c>
      <c r="O48" s="30">
        <f t="shared" si="34"/>
        <v>0</v>
      </c>
      <c r="P48" s="169">
        <f t="shared" si="35"/>
        <v>80240</v>
      </c>
    </row>
    <row r="49" spans="1:16" hidden="1" outlineLevel="2">
      <c r="A49" s="22"/>
      <c r="B49" s="28">
        <v>5009</v>
      </c>
      <c r="C49" s="29" t="s">
        <v>91</v>
      </c>
      <c r="D49" s="30">
        <f>N(122600)</f>
        <v>122600</v>
      </c>
      <c r="E49" s="30">
        <f t="shared" si="36"/>
        <v>0</v>
      </c>
      <c r="F49" s="30">
        <f t="shared" si="36"/>
        <v>0</v>
      </c>
      <c r="G49" s="30">
        <f t="shared" si="31"/>
        <v>0</v>
      </c>
      <c r="H49" s="30">
        <f t="shared" si="31"/>
        <v>0</v>
      </c>
      <c r="I49" s="30">
        <f t="shared" si="32"/>
        <v>0</v>
      </c>
      <c r="J49" s="30">
        <f t="shared" si="32"/>
        <v>0</v>
      </c>
      <c r="K49" s="30">
        <f t="shared" si="32"/>
        <v>0</v>
      </c>
      <c r="L49" s="30">
        <f t="shared" si="33"/>
        <v>0</v>
      </c>
      <c r="M49" s="30">
        <f t="shared" si="33"/>
        <v>0</v>
      </c>
      <c r="N49" s="30">
        <f t="shared" si="33"/>
        <v>0</v>
      </c>
      <c r="O49" s="30">
        <f t="shared" si="34"/>
        <v>0</v>
      </c>
      <c r="P49" s="169">
        <f t="shared" si="35"/>
        <v>122600</v>
      </c>
    </row>
    <row r="50" spans="1:16" hidden="1" outlineLevel="2">
      <c r="A50" s="22"/>
      <c r="B50" s="28">
        <v>5010</v>
      </c>
      <c r="C50" s="29" t="s">
        <v>92</v>
      </c>
      <c r="D50" s="30">
        <f>N(513136.27)</f>
        <v>513136.27</v>
      </c>
      <c r="E50" s="30">
        <f>N(487589.61)</f>
        <v>487589.61</v>
      </c>
      <c r="F50" s="30">
        <f>N(12335.6)</f>
        <v>12335.6</v>
      </c>
      <c r="G50" s="30">
        <f t="shared" si="31"/>
        <v>0</v>
      </c>
      <c r="H50" s="30">
        <f>N(14785.55)</f>
        <v>14785.55</v>
      </c>
      <c r="I50" s="30">
        <f t="shared" si="32"/>
        <v>0</v>
      </c>
      <c r="J50" s="30">
        <f t="shared" si="32"/>
        <v>0</v>
      </c>
      <c r="K50" s="30">
        <f>N(228966.06)</f>
        <v>228966.06</v>
      </c>
      <c r="L50" s="30">
        <f t="shared" si="33"/>
        <v>0</v>
      </c>
      <c r="M50" s="30">
        <f>N(109065.07)</f>
        <v>109065.07</v>
      </c>
      <c r="N50" s="30">
        <f>N(165603.84)</f>
        <v>165603.84</v>
      </c>
      <c r="O50" s="30">
        <f t="shared" si="34"/>
        <v>0</v>
      </c>
      <c r="P50" s="169">
        <f t="shared" si="35"/>
        <v>1531482.0000000002</v>
      </c>
    </row>
    <row r="51" spans="1:16" hidden="1" outlineLevel="2">
      <c r="A51" s="22"/>
      <c r="B51" s="28">
        <v>5021</v>
      </c>
      <c r="C51" s="29" t="s">
        <v>93</v>
      </c>
      <c r="D51" s="30">
        <f t="shared" ref="D51:F52" si="37">N(0)</f>
        <v>0</v>
      </c>
      <c r="E51" s="30">
        <f t="shared" si="37"/>
        <v>0</v>
      </c>
      <c r="F51" s="30">
        <f t="shared" si="37"/>
        <v>0</v>
      </c>
      <c r="G51" s="30">
        <f t="shared" si="31"/>
        <v>0</v>
      </c>
      <c r="H51" s="30">
        <f>N(0)</f>
        <v>0</v>
      </c>
      <c r="I51" s="30">
        <f t="shared" si="32"/>
        <v>0</v>
      </c>
      <c r="J51" s="30">
        <f t="shared" si="32"/>
        <v>0</v>
      </c>
      <c r="K51" s="30">
        <f t="shared" si="32"/>
        <v>0</v>
      </c>
      <c r="L51" s="30">
        <f>N(117144)</f>
        <v>117144</v>
      </c>
      <c r="M51" s="30">
        <f t="shared" ref="M51:N51" si="38">N(0)</f>
        <v>0</v>
      </c>
      <c r="N51" s="30">
        <f t="shared" si="38"/>
        <v>0</v>
      </c>
      <c r="O51" s="30">
        <f t="shared" si="34"/>
        <v>0</v>
      </c>
      <c r="P51" s="169">
        <f t="shared" si="35"/>
        <v>117144</v>
      </c>
    </row>
    <row r="52" spans="1:16" hidden="1" outlineLevel="2">
      <c r="A52" s="22"/>
      <c r="B52" s="28">
        <v>5111</v>
      </c>
      <c r="C52" s="29" t="s">
        <v>95</v>
      </c>
      <c r="D52" s="30">
        <f>N(5780)</f>
        <v>5780</v>
      </c>
      <c r="E52" s="30">
        <f t="shared" si="37"/>
        <v>0</v>
      </c>
      <c r="F52" s="30">
        <f t="shared" si="37"/>
        <v>0</v>
      </c>
      <c r="G52" s="30">
        <f t="shared" si="31"/>
        <v>0</v>
      </c>
      <c r="H52" s="30">
        <f>N(12262)</f>
        <v>12262</v>
      </c>
      <c r="I52" s="30">
        <f t="shared" si="32"/>
        <v>0</v>
      </c>
      <c r="J52" s="30">
        <f t="shared" si="32"/>
        <v>0</v>
      </c>
      <c r="K52" s="30">
        <f t="shared" si="32"/>
        <v>0</v>
      </c>
      <c r="L52" s="30">
        <f t="shared" si="32"/>
        <v>0</v>
      </c>
      <c r="M52" s="30">
        <f>N(8800)</f>
        <v>8800</v>
      </c>
      <c r="N52" s="30">
        <f>N(7500)</f>
        <v>7500</v>
      </c>
      <c r="O52" s="30">
        <f t="shared" si="34"/>
        <v>0</v>
      </c>
      <c r="P52" s="169">
        <f t="shared" si="35"/>
        <v>34342</v>
      </c>
    </row>
    <row r="53" spans="1:16" hidden="1" outlineLevel="2">
      <c r="A53" s="22"/>
      <c r="B53" s="28">
        <v>5190</v>
      </c>
      <c r="C53" s="29" t="s">
        <v>99</v>
      </c>
      <c r="D53" s="30">
        <f>N(48987)</f>
        <v>48987</v>
      </c>
      <c r="E53" s="30">
        <f>N(281226)</f>
        <v>281226</v>
      </c>
      <c r="F53" s="30">
        <f>N(0)</f>
        <v>0</v>
      </c>
      <c r="G53" s="30">
        <f t="shared" si="31"/>
        <v>0</v>
      </c>
      <c r="H53" s="30">
        <f>N(0)</f>
        <v>0</v>
      </c>
      <c r="I53" s="30">
        <f t="shared" si="32"/>
        <v>0</v>
      </c>
      <c r="J53" s="30">
        <f t="shared" si="32"/>
        <v>0</v>
      </c>
      <c r="K53" s="30">
        <f t="shared" si="32"/>
        <v>0</v>
      </c>
      <c r="L53" s="30">
        <f t="shared" si="32"/>
        <v>0</v>
      </c>
      <c r="M53" s="30">
        <f>N(164485)</f>
        <v>164485</v>
      </c>
      <c r="N53" s="30">
        <f>N(39413)</f>
        <v>39413</v>
      </c>
      <c r="O53" s="30">
        <f t="shared" si="34"/>
        <v>0</v>
      </c>
      <c r="P53" s="169">
        <f t="shared" si="35"/>
        <v>534111</v>
      </c>
    </row>
    <row r="54" spans="1:16" outlineLevel="1" collapsed="1">
      <c r="A54" s="22"/>
      <c r="B54" s="35" t="str">
        <f>"    "&amp;"Lønn til ansatte"</f>
        <v xml:space="preserve">    Lønn til ansatte</v>
      </c>
      <c r="C54" s="36"/>
      <c r="D54" s="33">
        <f t="shared" ref="D54:P54" si="39">SUM(D45:D53)</f>
        <v>4718086.2200000007</v>
      </c>
      <c r="E54" s="33">
        <f t="shared" si="39"/>
        <v>4384944.18</v>
      </c>
      <c r="F54" s="33">
        <f t="shared" si="39"/>
        <v>115132.59000000001</v>
      </c>
      <c r="G54" s="33">
        <f t="shared" si="39"/>
        <v>0</v>
      </c>
      <c r="H54" s="33">
        <f t="shared" si="39"/>
        <v>150260.54</v>
      </c>
      <c r="I54" s="33">
        <f t="shared" si="39"/>
        <v>0</v>
      </c>
      <c r="J54" s="33">
        <f t="shared" si="39"/>
        <v>0</v>
      </c>
      <c r="K54" s="33">
        <f t="shared" si="39"/>
        <v>2047116.4000000001</v>
      </c>
      <c r="L54" s="33">
        <f t="shared" si="39"/>
        <v>117144</v>
      </c>
      <c r="M54" s="33">
        <f t="shared" si="39"/>
        <v>1026740.25</v>
      </c>
      <c r="N54" s="33">
        <f t="shared" si="39"/>
        <v>1504907.9300000002</v>
      </c>
      <c r="O54" s="33">
        <f t="shared" si="39"/>
        <v>0</v>
      </c>
      <c r="P54" s="170">
        <f t="shared" si="39"/>
        <v>14064332.109999999</v>
      </c>
    </row>
    <row r="55" spans="1:16" hidden="1" outlineLevel="2">
      <c r="A55" s="22"/>
      <c r="B55" s="28">
        <v>5210</v>
      </c>
      <c r="C55" s="29" t="s">
        <v>100</v>
      </c>
      <c r="D55" s="30">
        <f>N(9276)</f>
        <v>9276</v>
      </c>
      <c r="E55" s="30">
        <f>N(22707.3)</f>
        <v>22707.3</v>
      </c>
      <c r="F55" s="30">
        <f t="shared" ref="F55:K60" si="40">N(0)</f>
        <v>0</v>
      </c>
      <c r="G55" s="30">
        <f t="shared" si="40"/>
        <v>0</v>
      </c>
      <c r="H55" s="30">
        <f t="shared" si="40"/>
        <v>0</v>
      </c>
      <c r="I55" s="30">
        <f t="shared" si="40"/>
        <v>0</v>
      </c>
      <c r="J55" s="30">
        <f t="shared" si="40"/>
        <v>0</v>
      </c>
      <c r="K55" s="30">
        <f>N(6877.5)</f>
        <v>6877.5</v>
      </c>
      <c r="L55" s="30">
        <f t="shared" ref="L55:N60" si="41">N(0)</f>
        <v>0</v>
      </c>
      <c r="M55" s="30">
        <f>N(4246.2)</f>
        <v>4246.2</v>
      </c>
      <c r="N55" s="30">
        <f>N(6000)</f>
        <v>6000</v>
      </c>
      <c r="O55" s="30">
        <f t="shared" ref="O55:O60" si="42">N(0)</f>
        <v>0</v>
      </c>
      <c r="P55" s="169">
        <f t="shared" ref="P55:P60" si="43">SUM(D55:O55)</f>
        <v>49107</v>
      </c>
    </row>
    <row r="56" spans="1:16" hidden="1" outlineLevel="2">
      <c r="A56" s="22"/>
      <c r="B56" s="28">
        <v>5281</v>
      </c>
      <c r="C56" s="29" t="s">
        <v>107</v>
      </c>
      <c r="D56" s="30">
        <f>N(3275.25)</f>
        <v>3275.25</v>
      </c>
      <c r="E56" s="30">
        <f t="shared" ref="E56:E57" si="44">N(0)</f>
        <v>0</v>
      </c>
      <c r="F56" s="30">
        <f t="shared" si="40"/>
        <v>0</v>
      </c>
      <c r="G56" s="30">
        <f t="shared" si="40"/>
        <v>0</v>
      </c>
      <c r="H56" s="30">
        <f t="shared" si="40"/>
        <v>0</v>
      </c>
      <c r="I56" s="30">
        <f t="shared" si="40"/>
        <v>0</v>
      </c>
      <c r="J56" s="30">
        <f t="shared" si="40"/>
        <v>0</v>
      </c>
      <c r="K56" s="30">
        <f t="shared" si="40"/>
        <v>0</v>
      </c>
      <c r="L56" s="30">
        <f t="shared" si="41"/>
        <v>0</v>
      </c>
      <c r="M56" s="30">
        <f t="shared" si="41"/>
        <v>0</v>
      </c>
      <c r="N56" s="30">
        <f t="shared" si="41"/>
        <v>0</v>
      </c>
      <c r="O56" s="30">
        <f t="shared" si="42"/>
        <v>0</v>
      </c>
      <c r="P56" s="169">
        <f t="shared" si="43"/>
        <v>3275.25</v>
      </c>
    </row>
    <row r="57" spans="1:16" hidden="1" outlineLevel="2">
      <c r="A57" s="22"/>
      <c r="B57" s="28">
        <v>5286</v>
      </c>
      <c r="C57" s="29" t="s">
        <v>109</v>
      </c>
      <c r="D57" s="30">
        <f>N(0)</f>
        <v>0</v>
      </c>
      <c r="E57" s="30">
        <f t="shared" si="44"/>
        <v>0</v>
      </c>
      <c r="F57" s="30">
        <f t="shared" si="40"/>
        <v>0</v>
      </c>
      <c r="G57" s="30">
        <f t="shared" si="40"/>
        <v>0</v>
      </c>
      <c r="H57" s="30">
        <f t="shared" si="40"/>
        <v>0</v>
      </c>
      <c r="I57" s="30">
        <f t="shared" si="40"/>
        <v>0</v>
      </c>
      <c r="J57" s="30">
        <f t="shared" si="40"/>
        <v>0</v>
      </c>
      <c r="K57" s="30">
        <f t="shared" si="40"/>
        <v>0</v>
      </c>
      <c r="L57" s="30">
        <f t="shared" si="41"/>
        <v>0</v>
      </c>
      <c r="M57" s="30">
        <f t="shared" si="41"/>
        <v>0</v>
      </c>
      <c r="N57" s="30">
        <f t="shared" si="41"/>
        <v>0</v>
      </c>
      <c r="O57" s="30">
        <f t="shared" si="42"/>
        <v>0</v>
      </c>
      <c r="P57" s="169">
        <f t="shared" si="43"/>
        <v>0</v>
      </c>
    </row>
    <row r="58" spans="1:16" hidden="1" outlineLevel="2">
      <c r="A58" s="22"/>
      <c r="B58" s="28">
        <v>5290</v>
      </c>
      <c r="C58" s="29" t="s">
        <v>110</v>
      </c>
      <c r="D58" s="30">
        <f>N(-12551.25)</f>
        <v>-12551.25</v>
      </c>
      <c r="E58" s="30">
        <f>N(-22707.3)</f>
        <v>-22707.3</v>
      </c>
      <c r="F58" s="30">
        <f t="shared" si="40"/>
        <v>0</v>
      </c>
      <c r="G58" s="30">
        <f t="shared" si="40"/>
        <v>0</v>
      </c>
      <c r="H58" s="30">
        <f t="shared" si="40"/>
        <v>0</v>
      </c>
      <c r="I58" s="30">
        <f t="shared" si="40"/>
        <v>0</v>
      </c>
      <c r="J58" s="30">
        <f t="shared" si="40"/>
        <v>0</v>
      </c>
      <c r="K58" s="30">
        <f>N(-6877.5)</f>
        <v>-6877.5</v>
      </c>
      <c r="L58" s="30">
        <f t="shared" si="41"/>
        <v>0</v>
      </c>
      <c r="M58" s="30">
        <f>N(-4246.2)</f>
        <v>-4246.2</v>
      </c>
      <c r="N58" s="30">
        <f>N(-6000)</f>
        <v>-6000</v>
      </c>
      <c r="O58" s="30">
        <f t="shared" si="42"/>
        <v>0</v>
      </c>
      <c r="P58" s="169">
        <f t="shared" si="43"/>
        <v>-52382.25</v>
      </c>
    </row>
    <row r="59" spans="1:16" hidden="1" outlineLevel="2">
      <c r="A59" s="22"/>
      <c r="B59" s="28">
        <v>5420</v>
      </c>
      <c r="C59" s="29" t="s">
        <v>111</v>
      </c>
      <c r="D59" s="30">
        <f t="shared" ref="D59:D60" si="45">N(0)</f>
        <v>0</v>
      </c>
      <c r="E59" s="30">
        <f>N(849490.04)</f>
        <v>849490.04</v>
      </c>
      <c r="F59" s="30">
        <f t="shared" si="40"/>
        <v>0</v>
      </c>
      <c r="G59" s="30">
        <f t="shared" si="40"/>
        <v>0</v>
      </c>
      <c r="H59" s="30">
        <f t="shared" si="40"/>
        <v>0</v>
      </c>
      <c r="I59" s="30">
        <f t="shared" si="40"/>
        <v>0</v>
      </c>
      <c r="J59" s="30">
        <f t="shared" si="40"/>
        <v>0</v>
      </c>
      <c r="K59" s="30">
        <f t="shared" si="40"/>
        <v>0</v>
      </c>
      <c r="L59" s="30">
        <f t="shared" si="41"/>
        <v>0</v>
      </c>
      <c r="M59" s="30">
        <f t="shared" si="41"/>
        <v>0</v>
      </c>
      <c r="N59" s="30">
        <f t="shared" si="41"/>
        <v>0</v>
      </c>
      <c r="O59" s="30">
        <f t="shared" si="42"/>
        <v>0</v>
      </c>
      <c r="P59" s="169">
        <f t="shared" si="43"/>
        <v>849490.04</v>
      </c>
    </row>
    <row r="60" spans="1:16" hidden="1" outlineLevel="2">
      <c r="A60" s="22"/>
      <c r="B60" s="28">
        <v>5490</v>
      </c>
      <c r="C60" s="29" t="s">
        <v>112</v>
      </c>
      <c r="D60" s="30">
        <f t="shared" si="45"/>
        <v>0</v>
      </c>
      <c r="E60" s="30">
        <f>N(-849490.04)</f>
        <v>-849490.04</v>
      </c>
      <c r="F60" s="30">
        <f t="shared" si="40"/>
        <v>0</v>
      </c>
      <c r="G60" s="30">
        <f t="shared" si="40"/>
        <v>0</v>
      </c>
      <c r="H60" s="30">
        <f t="shared" si="40"/>
        <v>0</v>
      </c>
      <c r="I60" s="30">
        <f t="shared" si="40"/>
        <v>0</v>
      </c>
      <c r="J60" s="30">
        <f t="shared" si="40"/>
        <v>0</v>
      </c>
      <c r="K60" s="30">
        <f t="shared" si="40"/>
        <v>0</v>
      </c>
      <c r="L60" s="30">
        <f t="shared" si="41"/>
        <v>0</v>
      </c>
      <c r="M60" s="30">
        <f t="shared" si="41"/>
        <v>0</v>
      </c>
      <c r="N60" s="30">
        <f t="shared" si="41"/>
        <v>0</v>
      </c>
      <c r="O60" s="30">
        <f t="shared" si="42"/>
        <v>0</v>
      </c>
      <c r="P60" s="169">
        <f t="shared" si="43"/>
        <v>-849490.04</v>
      </c>
    </row>
    <row r="61" spans="1:16" outlineLevel="1" collapsed="1">
      <c r="A61" s="22"/>
      <c r="B61" s="35" t="str">
        <f>"    "&amp;"Fordel i arbeidsforhold"</f>
        <v xml:space="preserve">    Fordel i arbeidsforhold</v>
      </c>
      <c r="C61" s="36"/>
      <c r="D61" s="33">
        <f t="shared" ref="D61:P61" si="46">SUM(D55:D60)</f>
        <v>0</v>
      </c>
      <c r="E61" s="33">
        <f t="shared" si="46"/>
        <v>0</v>
      </c>
      <c r="F61" s="33">
        <f t="shared" si="46"/>
        <v>0</v>
      </c>
      <c r="G61" s="33">
        <f t="shared" si="46"/>
        <v>0</v>
      </c>
      <c r="H61" s="33">
        <f t="shared" si="46"/>
        <v>0</v>
      </c>
      <c r="I61" s="33">
        <f t="shared" si="46"/>
        <v>0</v>
      </c>
      <c r="J61" s="33">
        <f t="shared" si="46"/>
        <v>0</v>
      </c>
      <c r="K61" s="33">
        <f t="shared" si="46"/>
        <v>0</v>
      </c>
      <c r="L61" s="33">
        <f t="shared" si="46"/>
        <v>0</v>
      </c>
      <c r="M61" s="33">
        <f t="shared" si="46"/>
        <v>0</v>
      </c>
      <c r="N61" s="33">
        <f t="shared" si="46"/>
        <v>0</v>
      </c>
      <c r="O61" s="33">
        <f t="shared" si="46"/>
        <v>0</v>
      </c>
      <c r="P61" s="170">
        <f t="shared" si="46"/>
        <v>0</v>
      </c>
    </row>
    <row r="62" spans="1:16" hidden="1" outlineLevel="2">
      <c r="A62" s="22"/>
      <c r="B62" s="28">
        <v>5312</v>
      </c>
      <c r="C62" s="29" t="s">
        <v>113</v>
      </c>
      <c r="D62" s="30">
        <f>N(46594.39)</f>
        <v>46594.39</v>
      </c>
      <c r="E62" s="30">
        <f>N(43120.12)</f>
        <v>43120.12</v>
      </c>
      <c r="F62" s="30">
        <f t="shared" ref="F62:G63" si="47">N(0)</f>
        <v>0</v>
      </c>
      <c r="G62" s="30">
        <f t="shared" si="47"/>
        <v>0</v>
      </c>
      <c r="H62" s="30">
        <f>N(2196.8)</f>
        <v>2196.8000000000002</v>
      </c>
      <c r="I62" s="30">
        <f t="shared" ref="I62:J63" si="48">N(0)</f>
        <v>0</v>
      </c>
      <c r="J62" s="30">
        <f t="shared" si="48"/>
        <v>0</v>
      </c>
      <c r="K62" s="30">
        <f>N(16397.22)</f>
        <v>16397.22</v>
      </c>
      <c r="L62" s="30">
        <f t="shared" ref="L62:N63" si="49">N(0)</f>
        <v>0</v>
      </c>
      <c r="M62" s="30">
        <f>N(5827.68)</f>
        <v>5827.68</v>
      </c>
      <c r="N62" s="30">
        <f>N(18500.74)</f>
        <v>18500.740000000002</v>
      </c>
      <c r="O62" s="30">
        <f t="shared" ref="O62:O63" si="50">N(0)</f>
        <v>0</v>
      </c>
      <c r="P62" s="169">
        <f>SUM(D62:O62)</f>
        <v>132636.95000000001</v>
      </c>
    </row>
    <row r="63" spans="1:16" hidden="1" outlineLevel="2">
      <c r="A63" s="22"/>
      <c r="B63" s="28">
        <v>5326</v>
      </c>
      <c r="C63" s="29" t="s">
        <v>114</v>
      </c>
      <c r="D63" s="30">
        <f>N(135993)</f>
        <v>135993</v>
      </c>
      <c r="E63" s="30">
        <f>N(0)</f>
        <v>0</v>
      </c>
      <c r="F63" s="30">
        <f t="shared" si="47"/>
        <v>0</v>
      </c>
      <c r="G63" s="30">
        <f t="shared" si="47"/>
        <v>0</v>
      </c>
      <c r="H63" s="30">
        <f>N(0)</f>
        <v>0</v>
      </c>
      <c r="I63" s="30">
        <f t="shared" si="48"/>
        <v>0</v>
      </c>
      <c r="J63" s="30">
        <f t="shared" si="48"/>
        <v>0</v>
      </c>
      <c r="K63" s="30">
        <f>N(0)</f>
        <v>0</v>
      </c>
      <c r="L63" s="30">
        <f t="shared" si="49"/>
        <v>0</v>
      </c>
      <c r="M63" s="30">
        <f t="shared" si="49"/>
        <v>0</v>
      </c>
      <c r="N63" s="30">
        <f t="shared" si="49"/>
        <v>0</v>
      </c>
      <c r="O63" s="30">
        <f t="shared" si="50"/>
        <v>0</v>
      </c>
      <c r="P63" s="169">
        <f>SUM(D63:O63)</f>
        <v>135993</v>
      </c>
    </row>
    <row r="64" spans="1:16" outlineLevel="1" collapsed="1">
      <c r="A64" s="22"/>
      <c r="B64" s="35" t="str">
        <f>"    "&amp;"Annen oppgavepliktig godtgjørelse"</f>
        <v xml:space="preserve">    Annen oppgavepliktig godtgjørelse</v>
      </c>
      <c r="C64" s="36"/>
      <c r="D64" s="33">
        <f t="shared" ref="D64:P64" si="51">SUM(D62:D63)</f>
        <v>182587.39</v>
      </c>
      <c r="E64" s="33">
        <f t="shared" si="51"/>
        <v>43120.12</v>
      </c>
      <c r="F64" s="33">
        <f t="shared" si="51"/>
        <v>0</v>
      </c>
      <c r="G64" s="33">
        <f t="shared" si="51"/>
        <v>0</v>
      </c>
      <c r="H64" s="33">
        <f t="shared" si="51"/>
        <v>2196.8000000000002</v>
      </c>
      <c r="I64" s="33">
        <f t="shared" si="51"/>
        <v>0</v>
      </c>
      <c r="J64" s="33">
        <f t="shared" si="51"/>
        <v>0</v>
      </c>
      <c r="K64" s="33">
        <f t="shared" si="51"/>
        <v>16397.22</v>
      </c>
      <c r="L64" s="33">
        <f t="shared" si="51"/>
        <v>0</v>
      </c>
      <c r="M64" s="33">
        <f t="shared" si="51"/>
        <v>5827.68</v>
      </c>
      <c r="N64" s="33">
        <f t="shared" si="51"/>
        <v>18500.740000000002</v>
      </c>
      <c r="O64" s="33">
        <f t="shared" si="51"/>
        <v>0</v>
      </c>
      <c r="P64" s="170">
        <f t="shared" si="51"/>
        <v>268629.95</v>
      </c>
    </row>
    <row r="65" spans="1:16" hidden="1" outlineLevel="2">
      <c r="A65" s="22"/>
      <c r="B65" s="28">
        <v>5400</v>
      </c>
      <c r="C65" s="29" t="s">
        <v>116</v>
      </c>
      <c r="D65" s="30">
        <f>N(229549.1)</f>
        <v>229549.1</v>
      </c>
      <c r="E65" s="30">
        <f>N(632854.46)</f>
        <v>632854.46</v>
      </c>
      <c r="F65" s="30">
        <f>N(14494.43)</f>
        <v>14494.43</v>
      </c>
      <c r="G65" s="30">
        <f t="shared" ref="G65:G66" si="52">N(0)</f>
        <v>0</v>
      </c>
      <c r="H65" s="30">
        <f>N(19102.02)</f>
        <v>19102.02</v>
      </c>
      <c r="I65" s="30">
        <f t="shared" ref="I65:J66" si="53">N(0)</f>
        <v>0</v>
      </c>
      <c r="J65" s="30">
        <f t="shared" si="53"/>
        <v>0</v>
      </c>
      <c r="K65" s="30">
        <f>N(257329.1)</f>
        <v>257329.1</v>
      </c>
      <c r="L65" s="30">
        <f t="shared" ref="L65:L66" si="54">N(0)</f>
        <v>0</v>
      </c>
      <c r="M65" s="30">
        <f>N(106955.03)</f>
        <v>106955.03</v>
      </c>
      <c r="N65" s="30">
        <f>N(184130.83)</f>
        <v>184130.83</v>
      </c>
      <c r="O65" s="30">
        <f t="shared" ref="O65:O66" si="55">N(0)</f>
        <v>0</v>
      </c>
      <c r="P65" s="169">
        <f>SUM(D65:O65)</f>
        <v>1444414.9700000002</v>
      </c>
    </row>
    <row r="66" spans="1:16" hidden="1" outlineLevel="2">
      <c r="A66" s="22"/>
      <c r="B66" s="28">
        <v>5410</v>
      </c>
      <c r="C66" s="29" t="s">
        <v>117</v>
      </c>
      <c r="D66" s="30">
        <f>N(30654.53)</f>
        <v>30654.53</v>
      </c>
      <c r="E66" s="30">
        <f>N(60425.4)</f>
        <v>60425.4</v>
      </c>
      <c r="F66" s="30">
        <f>N(1738.95)</f>
        <v>1738.95</v>
      </c>
      <c r="G66" s="30">
        <f t="shared" si="52"/>
        <v>0</v>
      </c>
      <c r="H66" s="30">
        <f>N(2084.77)</f>
        <v>2084.77</v>
      </c>
      <c r="I66" s="30">
        <f t="shared" si="53"/>
        <v>0</v>
      </c>
      <c r="J66" s="30">
        <f t="shared" si="53"/>
        <v>0</v>
      </c>
      <c r="K66" s="30">
        <f>N(32284.24)</f>
        <v>32284.240000000002</v>
      </c>
      <c r="L66" s="30">
        <f t="shared" si="54"/>
        <v>0</v>
      </c>
      <c r="M66" s="30">
        <f>N(15378.55)</f>
        <v>15378.55</v>
      </c>
      <c r="N66" s="30">
        <f>N(23350.17)</f>
        <v>23350.17</v>
      </c>
      <c r="O66" s="30">
        <f t="shared" si="55"/>
        <v>0</v>
      </c>
      <c r="P66" s="169">
        <f>SUM(D66:O66)</f>
        <v>165916.60999999999</v>
      </c>
    </row>
    <row r="67" spans="1:16" outlineLevel="1" collapsed="1">
      <c r="A67" s="22"/>
      <c r="B67" s="35" t="str">
        <f>"    "&amp;"Arbeidsgiveravgift og pensjonskostnad"</f>
        <v xml:space="preserve">    Arbeidsgiveravgift og pensjonskostnad</v>
      </c>
      <c r="C67" s="36"/>
      <c r="D67" s="33">
        <f t="shared" ref="D67:P67" si="56">SUM(D65:D66)</f>
        <v>260203.63</v>
      </c>
      <c r="E67" s="33">
        <f t="shared" si="56"/>
        <v>693279.86</v>
      </c>
      <c r="F67" s="33">
        <f t="shared" si="56"/>
        <v>16233.380000000001</v>
      </c>
      <c r="G67" s="33">
        <f t="shared" si="56"/>
        <v>0</v>
      </c>
      <c r="H67" s="33">
        <f t="shared" si="56"/>
        <v>21186.79</v>
      </c>
      <c r="I67" s="33">
        <f t="shared" si="56"/>
        <v>0</v>
      </c>
      <c r="J67" s="33">
        <f t="shared" si="56"/>
        <v>0</v>
      </c>
      <c r="K67" s="33">
        <f t="shared" si="56"/>
        <v>289613.34000000003</v>
      </c>
      <c r="L67" s="33">
        <f t="shared" si="56"/>
        <v>0</v>
      </c>
      <c r="M67" s="33">
        <f t="shared" si="56"/>
        <v>122333.58</v>
      </c>
      <c r="N67" s="33">
        <f t="shared" si="56"/>
        <v>207481</v>
      </c>
      <c r="O67" s="33">
        <f t="shared" si="56"/>
        <v>0</v>
      </c>
      <c r="P67" s="170">
        <f t="shared" si="56"/>
        <v>1610331.58</v>
      </c>
    </row>
    <row r="68" spans="1:16" hidden="1" outlineLevel="2">
      <c r="A68" s="22"/>
      <c r="B68" s="28">
        <v>5800</v>
      </c>
      <c r="C68" s="29" t="s">
        <v>118</v>
      </c>
      <c r="D68" s="30">
        <f>N(-46327)</f>
        <v>-46327</v>
      </c>
      <c r="E68" s="30">
        <f>N(-305495)</f>
        <v>-305495</v>
      </c>
      <c r="F68" s="30">
        <f t="shared" ref="F68:N69" si="57">N(0)</f>
        <v>0</v>
      </c>
      <c r="G68" s="30">
        <f t="shared" si="57"/>
        <v>0</v>
      </c>
      <c r="H68" s="30">
        <f t="shared" si="57"/>
        <v>0</v>
      </c>
      <c r="I68" s="30">
        <f t="shared" si="57"/>
        <v>0</v>
      </c>
      <c r="J68" s="30">
        <f t="shared" si="57"/>
        <v>0</v>
      </c>
      <c r="K68" s="30">
        <f t="shared" si="57"/>
        <v>0</v>
      </c>
      <c r="L68" s="30">
        <f t="shared" si="57"/>
        <v>0</v>
      </c>
      <c r="M68" s="30">
        <f>N(-164485)</f>
        <v>-164485</v>
      </c>
      <c r="N68" s="30">
        <f>N(-39413)</f>
        <v>-39413</v>
      </c>
      <c r="O68" s="30">
        <f t="shared" ref="O68:O69" si="58">N(0)</f>
        <v>0</v>
      </c>
      <c r="P68" s="169">
        <f>SUM(D68:O68)</f>
        <v>-555720</v>
      </c>
    </row>
    <row r="69" spans="1:16" hidden="1" outlineLevel="2">
      <c r="A69" s="22"/>
      <c r="B69" s="28">
        <v>5802</v>
      </c>
      <c r="C69" s="29" t="s">
        <v>119</v>
      </c>
      <c r="D69" s="30">
        <f>N(-4658.55)</f>
        <v>-4658.55</v>
      </c>
      <c r="E69" s="30">
        <f>N(-1660)</f>
        <v>-1660</v>
      </c>
      <c r="F69" s="30">
        <f t="shared" si="57"/>
        <v>0</v>
      </c>
      <c r="G69" s="30">
        <f t="shared" si="57"/>
        <v>0</v>
      </c>
      <c r="H69" s="30">
        <f t="shared" si="57"/>
        <v>0</v>
      </c>
      <c r="I69" s="30">
        <f t="shared" si="57"/>
        <v>0</v>
      </c>
      <c r="J69" s="30">
        <f t="shared" si="57"/>
        <v>0</v>
      </c>
      <c r="K69" s="30">
        <f t="shared" si="57"/>
        <v>0</v>
      </c>
      <c r="L69" s="30">
        <f t="shared" si="57"/>
        <v>0</v>
      </c>
      <c r="M69" s="30">
        <f t="shared" si="57"/>
        <v>0</v>
      </c>
      <c r="N69" s="30">
        <f t="shared" si="57"/>
        <v>0</v>
      </c>
      <c r="O69" s="30">
        <f t="shared" si="58"/>
        <v>0</v>
      </c>
      <c r="P69" s="169">
        <f>SUM(D69:O69)</f>
        <v>-6318.55</v>
      </c>
    </row>
    <row r="70" spans="1:16" outlineLevel="1" collapsed="1">
      <c r="A70" s="22"/>
      <c r="B70" s="35" t="str">
        <f>"    "&amp;"Offentlig refusjon vedrørende arbeidskraft"</f>
        <v xml:space="preserve">    Offentlig refusjon vedrørende arbeidskraft</v>
      </c>
      <c r="C70" s="36"/>
      <c r="D70" s="33">
        <f t="shared" ref="D70:P70" si="59">SUM(D68:D69)</f>
        <v>-50985.55</v>
      </c>
      <c r="E70" s="33">
        <f t="shared" si="59"/>
        <v>-307155</v>
      </c>
      <c r="F70" s="33">
        <f t="shared" si="59"/>
        <v>0</v>
      </c>
      <c r="G70" s="33">
        <f t="shared" si="59"/>
        <v>0</v>
      </c>
      <c r="H70" s="33">
        <f t="shared" si="59"/>
        <v>0</v>
      </c>
      <c r="I70" s="33">
        <f t="shared" si="59"/>
        <v>0</v>
      </c>
      <c r="J70" s="33">
        <f t="shared" si="59"/>
        <v>0</v>
      </c>
      <c r="K70" s="33">
        <f t="shared" si="59"/>
        <v>0</v>
      </c>
      <c r="L70" s="33">
        <f t="shared" si="59"/>
        <v>0</v>
      </c>
      <c r="M70" s="33">
        <f t="shared" si="59"/>
        <v>-164485</v>
      </c>
      <c r="N70" s="33">
        <f t="shared" si="59"/>
        <v>-39413</v>
      </c>
      <c r="O70" s="33">
        <f t="shared" si="59"/>
        <v>0</v>
      </c>
      <c r="P70" s="170">
        <f t="shared" si="59"/>
        <v>-562038.55000000005</v>
      </c>
    </row>
    <row r="71" spans="1:16" hidden="1" outlineLevel="2">
      <c r="A71" s="22"/>
      <c r="B71" s="28">
        <v>5500</v>
      </c>
      <c r="C71" s="29" t="s">
        <v>121</v>
      </c>
      <c r="D71" s="30">
        <f>N(205908.33)</f>
        <v>205908.33</v>
      </c>
      <c r="E71" s="30">
        <f>N(887)</f>
        <v>887</v>
      </c>
      <c r="F71" s="30">
        <f t="shared" ref="F71:O78" si="60">N(0)</f>
        <v>0</v>
      </c>
      <c r="G71" s="30">
        <f t="shared" si="60"/>
        <v>0</v>
      </c>
      <c r="H71" s="30">
        <f t="shared" si="60"/>
        <v>0</v>
      </c>
      <c r="I71" s="30">
        <f t="shared" si="60"/>
        <v>0</v>
      </c>
      <c r="J71" s="30">
        <f t="shared" si="60"/>
        <v>0</v>
      </c>
      <c r="K71" s="30">
        <f t="shared" si="60"/>
        <v>0</v>
      </c>
      <c r="L71" s="30">
        <f t="shared" si="60"/>
        <v>0</v>
      </c>
      <c r="M71" s="30">
        <f t="shared" si="60"/>
        <v>0</v>
      </c>
      <c r="N71" s="30">
        <f t="shared" si="60"/>
        <v>0</v>
      </c>
      <c r="O71" s="30">
        <f t="shared" si="60"/>
        <v>0</v>
      </c>
      <c r="P71" s="169">
        <f t="shared" ref="P71:P78" si="61">SUM(D71:O71)</f>
        <v>206795.33</v>
      </c>
    </row>
    <row r="72" spans="1:16" hidden="1" outlineLevel="2">
      <c r="A72" s="22"/>
      <c r="B72" s="28">
        <v>5900</v>
      </c>
      <c r="C72" s="29" t="s">
        <v>122</v>
      </c>
      <c r="D72" s="30">
        <f>N(2655)</f>
        <v>2655</v>
      </c>
      <c r="E72" s="30">
        <f>N(18273.17)</f>
        <v>18273.169999999998</v>
      </c>
      <c r="F72" s="30">
        <f t="shared" si="60"/>
        <v>0</v>
      </c>
      <c r="G72" s="30">
        <f t="shared" si="60"/>
        <v>0</v>
      </c>
      <c r="H72" s="30">
        <f>N(129)</f>
        <v>129</v>
      </c>
      <c r="I72" s="30">
        <f>N(358)</f>
        <v>358</v>
      </c>
      <c r="J72" s="30">
        <f t="shared" si="60"/>
        <v>0</v>
      </c>
      <c r="K72" s="30">
        <f t="shared" si="60"/>
        <v>0</v>
      </c>
      <c r="L72" s="30">
        <f t="shared" si="60"/>
        <v>0</v>
      </c>
      <c r="M72" s="30">
        <f>N(5052.53)</f>
        <v>5052.53</v>
      </c>
      <c r="N72" s="30">
        <f>N(2722)</f>
        <v>2722</v>
      </c>
      <c r="O72" s="30">
        <f>N(129)</f>
        <v>129</v>
      </c>
      <c r="P72" s="169">
        <f t="shared" si="61"/>
        <v>29318.699999999997</v>
      </c>
    </row>
    <row r="73" spans="1:16" hidden="1" outlineLevel="2">
      <c r="A73" s="22"/>
      <c r="B73" s="28">
        <v>5910</v>
      </c>
      <c r="C73" s="29" t="s">
        <v>109</v>
      </c>
      <c r="D73" s="30">
        <f>N(360)</f>
        <v>360</v>
      </c>
      <c r="E73" s="30">
        <f>N(2445.3)</f>
        <v>2445.3000000000002</v>
      </c>
      <c r="F73" s="30">
        <f>N(379)</f>
        <v>379</v>
      </c>
      <c r="G73" s="30">
        <f t="shared" si="60"/>
        <v>0</v>
      </c>
      <c r="H73" s="30">
        <f t="shared" si="60"/>
        <v>0</v>
      </c>
      <c r="I73" s="30">
        <f t="shared" si="60"/>
        <v>0</v>
      </c>
      <c r="J73" s="30">
        <f t="shared" si="60"/>
        <v>0</v>
      </c>
      <c r="K73" s="30">
        <f>N(2743)</f>
        <v>2743</v>
      </c>
      <c r="L73" s="30">
        <f>N(0)</f>
        <v>0</v>
      </c>
      <c r="M73" s="30">
        <f>N(1450.98)</f>
        <v>1450.98</v>
      </c>
      <c r="N73" s="30">
        <f>N(3543.89)</f>
        <v>3543.89</v>
      </c>
      <c r="O73" s="30">
        <f t="shared" ref="O73:O78" si="62">N(0)</f>
        <v>0</v>
      </c>
      <c r="P73" s="169">
        <f t="shared" si="61"/>
        <v>10922.17</v>
      </c>
    </row>
    <row r="74" spans="1:16" hidden="1" outlineLevel="2">
      <c r="A74" s="22"/>
      <c r="B74" s="28">
        <v>5942</v>
      </c>
      <c r="C74" s="29" t="s">
        <v>123</v>
      </c>
      <c r="D74" s="30">
        <f t="shared" ref="D74:F77" si="63">N(0)</f>
        <v>0</v>
      </c>
      <c r="E74" s="30">
        <f t="shared" si="63"/>
        <v>0</v>
      </c>
      <c r="F74" s="30">
        <f t="shared" si="63"/>
        <v>0</v>
      </c>
      <c r="G74" s="30">
        <f t="shared" si="60"/>
        <v>0</v>
      </c>
      <c r="H74" s="30">
        <f t="shared" si="60"/>
        <v>0</v>
      </c>
      <c r="I74" s="30">
        <f t="shared" si="60"/>
        <v>0</v>
      </c>
      <c r="J74" s="30">
        <f t="shared" si="60"/>
        <v>0</v>
      </c>
      <c r="K74" s="30">
        <f>N(0)</f>
        <v>0</v>
      </c>
      <c r="L74" s="30">
        <f>N(-231578)</f>
        <v>-231578</v>
      </c>
      <c r="M74" s="30">
        <f t="shared" ref="M74:N74" si="64">N(0)</f>
        <v>0</v>
      </c>
      <c r="N74" s="30">
        <f t="shared" si="64"/>
        <v>0</v>
      </c>
      <c r="O74" s="30">
        <f t="shared" si="62"/>
        <v>0</v>
      </c>
      <c r="P74" s="169">
        <f t="shared" si="61"/>
        <v>-231578</v>
      </c>
    </row>
    <row r="75" spans="1:16" hidden="1" outlineLevel="2">
      <c r="A75" s="22"/>
      <c r="B75" s="28">
        <v>5947</v>
      </c>
      <c r="C75" s="29" t="s">
        <v>124</v>
      </c>
      <c r="D75" s="30">
        <f>N(321204.33)</f>
        <v>321204.33</v>
      </c>
      <c r="E75" s="30">
        <f>N(277969.88)</f>
        <v>277969.88</v>
      </c>
      <c r="F75" s="30">
        <f t="shared" si="63"/>
        <v>0</v>
      </c>
      <c r="G75" s="30">
        <f t="shared" si="60"/>
        <v>0</v>
      </c>
      <c r="H75" s="30">
        <f>N(4423.11)</f>
        <v>4423.1099999999997</v>
      </c>
      <c r="I75" s="30">
        <f t="shared" si="60"/>
        <v>0</v>
      </c>
      <c r="J75" s="30">
        <f t="shared" si="60"/>
        <v>0</v>
      </c>
      <c r="K75" s="30">
        <f>N(105702.78)</f>
        <v>105702.78</v>
      </c>
      <c r="L75" s="30">
        <f t="shared" ref="L75:L78" si="65">N(0)</f>
        <v>0</v>
      </c>
      <c r="M75" s="30">
        <f>N(37567.35)</f>
        <v>37567.35</v>
      </c>
      <c r="N75" s="30">
        <f>N(102622.59)</f>
        <v>102622.59</v>
      </c>
      <c r="O75" s="30">
        <f t="shared" si="62"/>
        <v>0</v>
      </c>
      <c r="P75" s="169">
        <f t="shared" si="61"/>
        <v>849490.03999999992</v>
      </c>
    </row>
    <row r="76" spans="1:16" hidden="1" outlineLevel="2">
      <c r="A76" s="22"/>
      <c r="B76" s="28">
        <v>5960</v>
      </c>
      <c r="C76" s="29" t="s">
        <v>125</v>
      </c>
      <c r="D76" s="30">
        <f>N(3175)</f>
        <v>3175</v>
      </c>
      <c r="E76" s="30">
        <f t="shared" ref="E76:E77" si="66">N(0)</f>
        <v>0</v>
      </c>
      <c r="F76" s="30">
        <f t="shared" si="63"/>
        <v>0</v>
      </c>
      <c r="G76" s="30">
        <f t="shared" si="60"/>
        <v>0</v>
      </c>
      <c r="H76" s="30">
        <f>N(0)</f>
        <v>0</v>
      </c>
      <c r="I76" s="30">
        <f t="shared" si="60"/>
        <v>0</v>
      </c>
      <c r="J76" s="30">
        <f t="shared" si="60"/>
        <v>0</v>
      </c>
      <c r="K76" s="30">
        <f t="shared" si="60"/>
        <v>0</v>
      </c>
      <c r="L76" s="30">
        <f t="shared" si="65"/>
        <v>0</v>
      </c>
      <c r="M76" s="30">
        <f>N(10000)</f>
        <v>10000</v>
      </c>
      <c r="N76" s="30">
        <f>N(0)</f>
        <v>0</v>
      </c>
      <c r="O76" s="30">
        <f t="shared" si="62"/>
        <v>0</v>
      </c>
      <c r="P76" s="169">
        <f t="shared" si="61"/>
        <v>13175</v>
      </c>
    </row>
    <row r="77" spans="1:16" hidden="1" outlineLevel="2">
      <c r="A77" s="22"/>
      <c r="B77" s="28">
        <v>5980</v>
      </c>
      <c r="C77" s="29" t="s">
        <v>126</v>
      </c>
      <c r="D77" s="30">
        <f>N(114894)</f>
        <v>114894</v>
      </c>
      <c r="E77" s="30">
        <f t="shared" si="66"/>
        <v>0</v>
      </c>
      <c r="F77" s="30">
        <f t="shared" si="63"/>
        <v>0</v>
      </c>
      <c r="G77" s="30">
        <f t="shared" si="60"/>
        <v>0</v>
      </c>
      <c r="H77" s="30">
        <f>N(134439.45)</f>
        <v>134439.45000000001</v>
      </c>
      <c r="I77" s="30">
        <f t="shared" si="60"/>
        <v>0</v>
      </c>
      <c r="J77" s="30">
        <f t="shared" si="60"/>
        <v>0</v>
      </c>
      <c r="K77" s="30">
        <f t="shared" si="60"/>
        <v>0</v>
      </c>
      <c r="L77" s="30">
        <f t="shared" si="65"/>
        <v>0</v>
      </c>
      <c r="M77" s="30">
        <f>N(33925)</f>
        <v>33925</v>
      </c>
      <c r="N77" s="30">
        <f>N(220542.86)</f>
        <v>220542.86</v>
      </c>
      <c r="O77" s="30">
        <f t="shared" si="62"/>
        <v>0</v>
      </c>
      <c r="P77" s="169">
        <f t="shared" si="61"/>
        <v>503801.31</v>
      </c>
    </row>
    <row r="78" spans="1:16" hidden="1" outlineLevel="2">
      <c r="A78" s="22"/>
      <c r="B78" s="28">
        <v>5990</v>
      </c>
      <c r="C78" s="29" t="s">
        <v>127</v>
      </c>
      <c r="D78" s="30">
        <f>N(6183.32)</f>
        <v>6183.32</v>
      </c>
      <c r="E78" s="30">
        <f>N(33157.65)</f>
        <v>33157.65</v>
      </c>
      <c r="F78" s="30">
        <f>N(1012)</f>
        <v>1012</v>
      </c>
      <c r="G78" s="30">
        <f t="shared" si="60"/>
        <v>0</v>
      </c>
      <c r="H78" s="30">
        <f>N(978.77)</f>
        <v>978.77</v>
      </c>
      <c r="I78" s="30">
        <f t="shared" si="60"/>
        <v>0</v>
      </c>
      <c r="J78" s="30">
        <f t="shared" si="60"/>
        <v>0</v>
      </c>
      <c r="K78" s="30">
        <f>N(3796.9)</f>
        <v>3796.9</v>
      </c>
      <c r="L78" s="30">
        <f t="shared" si="65"/>
        <v>0</v>
      </c>
      <c r="M78" s="30">
        <f>N(710.9)</f>
        <v>710.9</v>
      </c>
      <c r="N78" s="30">
        <f>N(1957.42)</f>
        <v>1957.42</v>
      </c>
      <c r="O78" s="30">
        <f t="shared" si="62"/>
        <v>0</v>
      </c>
      <c r="P78" s="169">
        <f t="shared" si="61"/>
        <v>47796.959999999999</v>
      </c>
    </row>
    <row r="79" spans="1:16" outlineLevel="1" collapsed="1">
      <c r="A79" s="22"/>
      <c r="B79" s="35" t="str">
        <f>"    "&amp;"Annen personalkostnad"</f>
        <v xml:space="preserve">    Annen personalkostnad</v>
      </c>
      <c r="C79" s="36"/>
      <c r="D79" s="33">
        <f t="shared" ref="D79:P79" si="67">SUM(D71:D78)</f>
        <v>654379.98</v>
      </c>
      <c r="E79" s="33">
        <f t="shared" si="67"/>
        <v>332733</v>
      </c>
      <c r="F79" s="33">
        <f t="shared" si="67"/>
        <v>1391</v>
      </c>
      <c r="G79" s="33">
        <f t="shared" si="67"/>
        <v>0</v>
      </c>
      <c r="H79" s="33">
        <f t="shared" si="67"/>
        <v>139970.32999999999</v>
      </c>
      <c r="I79" s="33">
        <f t="shared" si="67"/>
        <v>358</v>
      </c>
      <c r="J79" s="33">
        <f t="shared" si="67"/>
        <v>0</v>
      </c>
      <c r="K79" s="33">
        <f t="shared" si="67"/>
        <v>112242.68</v>
      </c>
      <c r="L79" s="33">
        <f t="shared" si="67"/>
        <v>-231578</v>
      </c>
      <c r="M79" s="33">
        <f t="shared" si="67"/>
        <v>88706.76</v>
      </c>
      <c r="N79" s="33">
        <f t="shared" si="67"/>
        <v>331388.75999999995</v>
      </c>
      <c r="O79" s="33">
        <f t="shared" si="67"/>
        <v>129</v>
      </c>
      <c r="P79" s="170">
        <f t="shared" si="67"/>
        <v>1429721.5099999998</v>
      </c>
    </row>
    <row r="80" spans="1:16">
      <c r="A80" s="22"/>
      <c r="B80" s="41" t="s">
        <v>17</v>
      </c>
      <c r="C80" s="42"/>
      <c r="D80" s="44">
        <f ca="1">SUM(OSRRefD13_1x_0)</f>
        <v>5764271.6699999999</v>
      </c>
      <c r="E80" s="44">
        <f ca="1">SUM(OSRRefD13_1x_1)</f>
        <v>5146922.16</v>
      </c>
      <c r="F80" s="44">
        <f ca="1">SUM(OSRRefD13_1x_2)</f>
        <v>132756.97</v>
      </c>
      <c r="G80" s="44">
        <f ca="1">SUM(OSRRefD13_1x_3)</f>
        <v>0</v>
      </c>
      <c r="H80" s="44">
        <f ca="1">SUM(OSRRefD13_1x_4)</f>
        <v>313614.45999999996</v>
      </c>
      <c r="I80" s="44">
        <f ca="1">SUM(OSRRefD13_1x_5)</f>
        <v>358</v>
      </c>
      <c r="J80" s="44">
        <f ca="1">SUM(OSRRefD13_1x_12)</f>
        <v>0</v>
      </c>
      <c r="K80" s="44">
        <f ca="1">SUM(OSRRefD13_1x_13)</f>
        <v>2465369.64</v>
      </c>
      <c r="L80" s="44">
        <f ca="1">SUM(OSRRefD13_1x_14)</f>
        <v>-114434</v>
      </c>
      <c r="M80" s="44">
        <f ca="1">SUM(OSRRefD13_1x_15)</f>
        <v>1079123.27</v>
      </c>
      <c r="N80" s="44">
        <f ca="1">SUM(OSRRefD13_1x_16)</f>
        <v>2022865.4300000002</v>
      </c>
      <c r="O80" s="44">
        <f ca="1">SUM(OSRRefD13_1x_17)</f>
        <v>129</v>
      </c>
      <c r="P80" s="171">
        <f ca="1">SUM(OSRRefE13_1x)</f>
        <v>16810976.599999998</v>
      </c>
    </row>
    <row r="81" spans="1:16" hidden="1" outlineLevel="2">
      <c r="A81" s="22"/>
      <c r="B81" s="28">
        <v>6017</v>
      </c>
      <c r="C81" s="29" t="s">
        <v>141</v>
      </c>
      <c r="D81" s="30">
        <f>N(0)</f>
        <v>0</v>
      </c>
      <c r="E81" s="30">
        <f>N(116637.22)</f>
        <v>116637.22</v>
      </c>
      <c r="F81" s="30">
        <f t="shared" ref="F81:O81" si="68">N(0)</f>
        <v>0</v>
      </c>
      <c r="G81" s="30">
        <f t="shared" si="68"/>
        <v>0</v>
      </c>
      <c r="H81" s="30">
        <f t="shared" si="68"/>
        <v>0</v>
      </c>
      <c r="I81" s="30">
        <f t="shared" si="68"/>
        <v>0</v>
      </c>
      <c r="J81" s="30">
        <f t="shared" si="68"/>
        <v>0</v>
      </c>
      <c r="K81" s="30">
        <f t="shared" si="68"/>
        <v>0</v>
      </c>
      <c r="L81" s="30">
        <f t="shared" si="68"/>
        <v>0</v>
      </c>
      <c r="M81" s="30">
        <f t="shared" si="68"/>
        <v>0</v>
      </c>
      <c r="N81" s="30">
        <f t="shared" si="68"/>
        <v>0</v>
      </c>
      <c r="O81" s="30">
        <f t="shared" si="68"/>
        <v>0</v>
      </c>
      <c r="P81" s="169">
        <f>SUM(D81:O81)</f>
        <v>116637.22</v>
      </c>
    </row>
    <row r="82" spans="1:16" outlineLevel="1" collapsed="1">
      <c r="A82" s="22"/>
      <c r="B82" s="35" t="str">
        <f>"    "&amp;"Av- og nedskrivning"</f>
        <v xml:space="preserve">    Av- og nedskrivning</v>
      </c>
      <c r="C82" s="36"/>
      <c r="D82" s="33">
        <f t="shared" ref="D82:P82" si="69">SUM(D81)</f>
        <v>0</v>
      </c>
      <c r="E82" s="33">
        <f t="shared" si="69"/>
        <v>116637.22</v>
      </c>
      <c r="F82" s="33">
        <f t="shared" si="69"/>
        <v>0</v>
      </c>
      <c r="G82" s="33">
        <f t="shared" si="69"/>
        <v>0</v>
      </c>
      <c r="H82" s="33">
        <f t="shared" si="69"/>
        <v>0</v>
      </c>
      <c r="I82" s="33">
        <f t="shared" si="69"/>
        <v>0</v>
      </c>
      <c r="J82" s="33">
        <f t="shared" si="69"/>
        <v>0</v>
      </c>
      <c r="K82" s="33">
        <f t="shared" si="69"/>
        <v>0</v>
      </c>
      <c r="L82" s="33">
        <f t="shared" si="69"/>
        <v>0</v>
      </c>
      <c r="M82" s="33">
        <f t="shared" si="69"/>
        <v>0</v>
      </c>
      <c r="N82" s="33">
        <f t="shared" si="69"/>
        <v>0</v>
      </c>
      <c r="O82" s="33">
        <f t="shared" si="69"/>
        <v>0</v>
      </c>
      <c r="P82" s="170">
        <f t="shared" si="69"/>
        <v>116637.22</v>
      </c>
    </row>
    <row r="83" spans="1:16" hidden="1" outlineLevel="2">
      <c r="A83" s="22"/>
      <c r="B83" s="28">
        <v>6300</v>
      </c>
      <c r="C83" s="29" t="s">
        <v>142</v>
      </c>
      <c r="D83" s="30">
        <f>N(47491.55)</f>
        <v>47491.55</v>
      </c>
      <c r="E83" s="30">
        <f>N(543200)</f>
        <v>543200</v>
      </c>
      <c r="F83" s="30">
        <f t="shared" ref="F83:K86" si="70">N(0)</f>
        <v>0</v>
      </c>
      <c r="G83" s="30">
        <f t="shared" si="70"/>
        <v>0</v>
      </c>
      <c r="H83" s="30">
        <f t="shared" si="70"/>
        <v>0</v>
      </c>
      <c r="I83" s="30">
        <f t="shared" si="70"/>
        <v>0</v>
      </c>
      <c r="J83" s="30">
        <f t="shared" si="70"/>
        <v>0</v>
      </c>
      <c r="K83" s="30">
        <f>N(90608)</f>
        <v>90608</v>
      </c>
      <c r="L83" s="30">
        <f t="shared" ref="L83:O86" si="71">N(0)</f>
        <v>0</v>
      </c>
      <c r="M83" s="30">
        <f t="shared" si="71"/>
        <v>0</v>
      </c>
      <c r="N83" s="30">
        <f t="shared" si="71"/>
        <v>0</v>
      </c>
      <c r="O83" s="30">
        <f t="shared" si="71"/>
        <v>0</v>
      </c>
      <c r="P83" s="169">
        <f>SUM(D83:O83)</f>
        <v>681299.55</v>
      </c>
    </row>
    <row r="84" spans="1:16" hidden="1" outlineLevel="2">
      <c r="A84" s="22"/>
      <c r="B84" s="28">
        <v>6360</v>
      </c>
      <c r="C84" s="29" t="s">
        <v>144</v>
      </c>
      <c r="D84" s="30">
        <f t="shared" ref="D84:D86" si="72">N(0)</f>
        <v>0</v>
      </c>
      <c r="E84" s="30">
        <f>N(55642.26)</f>
        <v>55642.26</v>
      </c>
      <c r="F84" s="30">
        <f t="shared" si="70"/>
        <v>0</v>
      </c>
      <c r="G84" s="30">
        <f t="shared" si="70"/>
        <v>0</v>
      </c>
      <c r="H84" s="30">
        <f>N(5715)</f>
        <v>5715</v>
      </c>
      <c r="I84" s="30">
        <f t="shared" si="70"/>
        <v>0</v>
      </c>
      <c r="J84" s="30">
        <f t="shared" si="70"/>
        <v>0</v>
      </c>
      <c r="K84" s="30">
        <f t="shared" si="70"/>
        <v>0</v>
      </c>
      <c r="L84" s="30">
        <f t="shared" si="71"/>
        <v>0</v>
      </c>
      <c r="M84" s="30">
        <f t="shared" si="71"/>
        <v>0</v>
      </c>
      <c r="N84" s="30">
        <f t="shared" si="71"/>
        <v>0</v>
      </c>
      <c r="O84" s="30">
        <f t="shared" si="71"/>
        <v>0</v>
      </c>
      <c r="P84" s="169">
        <f>SUM(D84:O84)</f>
        <v>61357.26</v>
      </c>
    </row>
    <row r="85" spans="1:16" hidden="1" outlineLevel="2">
      <c r="A85" s="22"/>
      <c r="B85" s="28">
        <v>6390</v>
      </c>
      <c r="C85" s="29" t="s">
        <v>145</v>
      </c>
      <c r="D85" s="30">
        <f t="shared" si="72"/>
        <v>0</v>
      </c>
      <c r="E85" s="30">
        <f>N(3715)</f>
        <v>3715</v>
      </c>
      <c r="F85" s="30">
        <f t="shared" si="70"/>
        <v>0</v>
      </c>
      <c r="G85" s="30">
        <f t="shared" si="70"/>
        <v>0</v>
      </c>
      <c r="H85" s="30">
        <f>N(0)</f>
        <v>0</v>
      </c>
      <c r="I85" s="30">
        <f t="shared" si="70"/>
        <v>0</v>
      </c>
      <c r="J85" s="30">
        <f t="shared" si="70"/>
        <v>0</v>
      </c>
      <c r="K85" s="30">
        <f t="shared" si="70"/>
        <v>0</v>
      </c>
      <c r="L85" s="30">
        <f t="shared" si="71"/>
        <v>0</v>
      </c>
      <c r="M85" s="30">
        <f t="shared" si="71"/>
        <v>0</v>
      </c>
      <c r="N85" s="30">
        <f t="shared" si="71"/>
        <v>0</v>
      </c>
      <c r="O85" s="30">
        <f t="shared" si="71"/>
        <v>0</v>
      </c>
      <c r="P85" s="169">
        <f>SUM(D85:O85)</f>
        <v>3715</v>
      </c>
    </row>
    <row r="86" spans="1:16" hidden="1" outlineLevel="2">
      <c r="A86" s="22"/>
      <c r="B86" s="28">
        <v>6490</v>
      </c>
      <c r="C86" s="29" t="s">
        <v>146</v>
      </c>
      <c r="D86" s="30">
        <f t="shared" si="72"/>
        <v>0</v>
      </c>
      <c r="E86" s="30">
        <f>N(1700)</f>
        <v>1700</v>
      </c>
      <c r="F86" s="30">
        <f t="shared" si="70"/>
        <v>0</v>
      </c>
      <c r="G86" s="30">
        <f t="shared" si="70"/>
        <v>0</v>
      </c>
      <c r="H86" s="30">
        <f>N(39885)</f>
        <v>39885</v>
      </c>
      <c r="I86" s="30">
        <f t="shared" si="70"/>
        <v>0</v>
      </c>
      <c r="J86" s="30">
        <f t="shared" si="70"/>
        <v>0</v>
      </c>
      <c r="K86" s="30">
        <f t="shared" si="70"/>
        <v>0</v>
      </c>
      <c r="L86" s="30">
        <f t="shared" si="71"/>
        <v>0</v>
      </c>
      <c r="M86" s="30">
        <f t="shared" si="71"/>
        <v>0</v>
      </c>
      <c r="N86" s="30">
        <f t="shared" si="71"/>
        <v>0</v>
      </c>
      <c r="O86" s="30">
        <f t="shared" si="71"/>
        <v>0</v>
      </c>
      <c r="P86" s="169">
        <f>SUM(D86:O86)</f>
        <v>41585</v>
      </c>
    </row>
    <row r="87" spans="1:16" outlineLevel="1" collapsed="1">
      <c r="A87" s="22"/>
      <c r="B87" s="35" t="str">
        <f>"    "&amp;"Kostnad lokaler"</f>
        <v xml:space="preserve">    Kostnad lokaler</v>
      </c>
      <c r="C87" s="36"/>
      <c r="D87" s="33">
        <f t="shared" ref="D87:P87" si="73">SUM(D83:D86)</f>
        <v>47491.55</v>
      </c>
      <c r="E87" s="33">
        <f t="shared" si="73"/>
        <v>604257.26</v>
      </c>
      <c r="F87" s="33">
        <f t="shared" si="73"/>
        <v>0</v>
      </c>
      <c r="G87" s="33">
        <f t="shared" si="73"/>
        <v>0</v>
      </c>
      <c r="H87" s="33">
        <f t="shared" si="73"/>
        <v>45600</v>
      </c>
      <c r="I87" s="33">
        <f t="shared" si="73"/>
        <v>0</v>
      </c>
      <c r="J87" s="33">
        <f t="shared" si="73"/>
        <v>0</v>
      </c>
      <c r="K87" s="33">
        <f t="shared" si="73"/>
        <v>90608</v>
      </c>
      <c r="L87" s="33">
        <f t="shared" si="73"/>
        <v>0</v>
      </c>
      <c r="M87" s="33">
        <f t="shared" si="73"/>
        <v>0</v>
      </c>
      <c r="N87" s="33">
        <f t="shared" si="73"/>
        <v>0</v>
      </c>
      <c r="O87" s="33">
        <f t="shared" si="73"/>
        <v>0</v>
      </c>
      <c r="P87" s="170">
        <f t="shared" si="73"/>
        <v>787956.81</v>
      </c>
    </row>
    <row r="88" spans="1:16" hidden="1" outlineLevel="2">
      <c r="A88" s="22"/>
      <c r="B88" s="28">
        <v>6405</v>
      </c>
      <c r="C88" s="29" t="s">
        <v>147</v>
      </c>
      <c r="D88" s="30">
        <f t="shared" ref="D88:I92" si="74">N(0)</f>
        <v>0</v>
      </c>
      <c r="E88" s="30">
        <f t="shared" si="74"/>
        <v>0</v>
      </c>
      <c r="F88" s="30">
        <f t="shared" si="74"/>
        <v>0</v>
      </c>
      <c r="G88" s="30">
        <f t="shared" si="74"/>
        <v>0</v>
      </c>
      <c r="H88" s="30">
        <f>N(301325.53)</f>
        <v>301325.53000000003</v>
      </c>
      <c r="I88" s="30">
        <f t="shared" ref="I88:N92" si="75">N(0)</f>
        <v>0</v>
      </c>
      <c r="J88" s="30">
        <f t="shared" si="75"/>
        <v>0</v>
      </c>
      <c r="K88" s="30">
        <f t="shared" si="75"/>
        <v>0</v>
      </c>
      <c r="L88" s="30">
        <f t="shared" si="75"/>
        <v>0</v>
      </c>
      <c r="M88" s="30">
        <f>N(15993)</f>
        <v>15993</v>
      </c>
      <c r="N88" s="30">
        <f t="shared" ref="N88:O92" si="76">N(0)</f>
        <v>0</v>
      </c>
      <c r="O88" s="30">
        <f t="shared" si="76"/>
        <v>0</v>
      </c>
      <c r="P88" s="169">
        <f>SUM(D88:O88)</f>
        <v>317318.53000000003</v>
      </c>
    </row>
    <row r="89" spans="1:16" hidden="1" outlineLevel="2">
      <c r="A89" s="22"/>
      <c r="B89" s="28">
        <v>6410</v>
      </c>
      <c r="C89" s="29" t="s">
        <v>148</v>
      </c>
      <c r="D89" s="30">
        <f t="shared" si="74"/>
        <v>0</v>
      </c>
      <c r="E89" s="30">
        <f t="shared" si="74"/>
        <v>0</v>
      </c>
      <c r="F89" s="30">
        <f t="shared" si="74"/>
        <v>0</v>
      </c>
      <c r="G89" s="30">
        <f t="shared" si="74"/>
        <v>0</v>
      </c>
      <c r="H89" s="30">
        <f>N(6209)</f>
        <v>6209</v>
      </c>
      <c r="I89" s="30">
        <f t="shared" si="75"/>
        <v>0</v>
      </c>
      <c r="J89" s="30">
        <f t="shared" si="75"/>
        <v>0</v>
      </c>
      <c r="K89" s="30">
        <f t="shared" si="75"/>
        <v>0</v>
      </c>
      <c r="L89" s="30">
        <f t="shared" si="75"/>
        <v>0</v>
      </c>
      <c r="M89" s="30">
        <f>N(0)</f>
        <v>0</v>
      </c>
      <c r="N89" s="30">
        <f t="shared" si="76"/>
        <v>0</v>
      </c>
      <c r="O89" s="30">
        <f t="shared" si="76"/>
        <v>0</v>
      </c>
      <c r="P89" s="169">
        <f>SUM(D89:O89)</f>
        <v>6209</v>
      </c>
    </row>
    <row r="90" spans="1:16" hidden="1" outlineLevel="2">
      <c r="A90" s="22"/>
      <c r="B90" s="28">
        <v>6420</v>
      </c>
      <c r="C90" s="29" t="s">
        <v>149</v>
      </c>
      <c r="D90" s="30">
        <f>N(13516.2)</f>
        <v>13516.2</v>
      </c>
      <c r="E90" s="30">
        <f>N(205794.82)</f>
        <v>205794.82</v>
      </c>
      <c r="F90" s="30">
        <f>N(5450.06)</f>
        <v>5450.06</v>
      </c>
      <c r="G90" s="30">
        <f t="shared" si="74"/>
        <v>0</v>
      </c>
      <c r="H90" s="30">
        <f t="shared" si="74"/>
        <v>0</v>
      </c>
      <c r="I90" s="30">
        <f>N(946383.38)</f>
        <v>946383.38</v>
      </c>
      <c r="J90" s="30">
        <f t="shared" si="75"/>
        <v>0</v>
      </c>
      <c r="K90" s="30">
        <f t="shared" si="75"/>
        <v>0</v>
      </c>
      <c r="L90" s="30">
        <f t="shared" si="75"/>
        <v>0</v>
      </c>
      <c r="M90" s="30">
        <f>N(7482)</f>
        <v>7482</v>
      </c>
      <c r="N90" s="30">
        <f>N(23525.8)</f>
        <v>23525.8</v>
      </c>
      <c r="O90" s="30">
        <f t="shared" si="76"/>
        <v>0</v>
      </c>
      <c r="P90" s="169">
        <f>SUM(D90:O90)</f>
        <v>1202152.26</v>
      </c>
    </row>
    <row r="91" spans="1:16" hidden="1" outlineLevel="2">
      <c r="A91" s="22"/>
      <c r="B91" s="28">
        <v>6421</v>
      </c>
      <c r="C91" s="29" t="s">
        <v>150</v>
      </c>
      <c r="D91" s="30">
        <f t="shared" ref="D91:D92" si="77">N(0)</f>
        <v>0</v>
      </c>
      <c r="E91" s="30">
        <f>N(0)</f>
        <v>0</v>
      </c>
      <c r="F91" s="30">
        <f>N(13611.5)</f>
        <v>13611.5</v>
      </c>
      <c r="G91" s="30">
        <f t="shared" si="74"/>
        <v>0</v>
      </c>
      <c r="H91" s="30">
        <f t="shared" si="74"/>
        <v>0</v>
      </c>
      <c r="I91" s="30">
        <f t="shared" si="74"/>
        <v>0</v>
      </c>
      <c r="J91" s="30">
        <f t="shared" si="75"/>
        <v>0</v>
      </c>
      <c r="K91" s="30">
        <f t="shared" si="75"/>
        <v>0</v>
      </c>
      <c r="L91" s="30">
        <f t="shared" si="75"/>
        <v>0</v>
      </c>
      <c r="M91" s="30">
        <f t="shared" si="75"/>
        <v>0</v>
      </c>
      <c r="N91" s="30">
        <f t="shared" si="75"/>
        <v>0</v>
      </c>
      <c r="O91" s="30">
        <f t="shared" si="76"/>
        <v>0</v>
      </c>
      <c r="P91" s="169">
        <f>SUM(D91:O91)</f>
        <v>13611.5</v>
      </c>
    </row>
    <row r="92" spans="1:16" hidden="1" outlineLevel="2">
      <c r="A92" s="22"/>
      <c r="B92" s="28">
        <v>6430</v>
      </c>
      <c r="C92" s="29" t="s">
        <v>151</v>
      </c>
      <c r="D92" s="30">
        <f t="shared" si="77"/>
        <v>0</v>
      </c>
      <c r="E92" s="30">
        <f>N(26453.49)</f>
        <v>26453.49</v>
      </c>
      <c r="F92" s="30">
        <f>N(0)</f>
        <v>0</v>
      </c>
      <c r="G92" s="30">
        <f t="shared" si="74"/>
        <v>0</v>
      </c>
      <c r="H92" s="30">
        <f>N(4143.75)</f>
        <v>4143.75</v>
      </c>
      <c r="I92" s="30">
        <f t="shared" si="74"/>
        <v>0</v>
      </c>
      <c r="J92" s="30">
        <f t="shared" si="75"/>
        <v>0</v>
      </c>
      <c r="K92" s="30">
        <f t="shared" si="75"/>
        <v>0</v>
      </c>
      <c r="L92" s="30">
        <f t="shared" si="75"/>
        <v>0</v>
      </c>
      <c r="M92" s="30">
        <f t="shared" si="75"/>
        <v>0</v>
      </c>
      <c r="N92" s="30">
        <f t="shared" si="75"/>
        <v>0</v>
      </c>
      <c r="O92" s="30">
        <f t="shared" si="76"/>
        <v>0</v>
      </c>
      <c r="P92" s="169">
        <f>SUM(D92:O92)</f>
        <v>30597.24</v>
      </c>
    </row>
    <row r="93" spans="1:16" outlineLevel="1" collapsed="1">
      <c r="A93" s="22"/>
      <c r="B93" s="35" t="str">
        <f>"    "&amp;"Leie maskiner, inventar o.l."</f>
        <v xml:space="preserve">    Leie maskiner, inventar o.l.</v>
      </c>
      <c r="C93" s="36"/>
      <c r="D93" s="33">
        <f t="shared" ref="D93:P93" si="78">SUM(D88:D92)</f>
        <v>13516.2</v>
      </c>
      <c r="E93" s="33">
        <f t="shared" si="78"/>
        <v>232248.31</v>
      </c>
      <c r="F93" s="33">
        <f t="shared" si="78"/>
        <v>19061.560000000001</v>
      </c>
      <c r="G93" s="33">
        <f t="shared" si="78"/>
        <v>0</v>
      </c>
      <c r="H93" s="33">
        <f t="shared" si="78"/>
        <v>311678.28000000003</v>
      </c>
      <c r="I93" s="33">
        <f t="shared" si="78"/>
        <v>946383.38</v>
      </c>
      <c r="J93" s="33">
        <f t="shared" si="78"/>
        <v>0</v>
      </c>
      <c r="K93" s="33">
        <f t="shared" si="78"/>
        <v>0</v>
      </c>
      <c r="L93" s="33">
        <f t="shared" si="78"/>
        <v>0</v>
      </c>
      <c r="M93" s="33">
        <f t="shared" si="78"/>
        <v>23475</v>
      </c>
      <c r="N93" s="33">
        <f t="shared" si="78"/>
        <v>23525.8</v>
      </c>
      <c r="O93" s="33">
        <f t="shared" si="78"/>
        <v>0</v>
      </c>
      <c r="P93" s="170">
        <f t="shared" si="78"/>
        <v>1569888.53</v>
      </c>
    </row>
    <row r="94" spans="1:16" hidden="1" outlineLevel="2">
      <c r="A94" s="22"/>
      <c r="B94" s="28">
        <v>6540</v>
      </c>
      <c r="C94" s="29" t="s">
        <v>152</v>
      </c>
      <c r="D94" s="30">
        <f>N(0)</f>
        <v>0</v>
      </c>
      <c r="E94" s="30">
        <f>N(7120.9)</f>
        <v>7120.9</v>
      </c>
      <c r="F94" s="30">
        <f t="shared" ref="F94:I96" si="79">N(0)</f>
        <v>0</v>
      </c>
      <c r="G94" s="30">
        <f t="shared" si="79"/>
        <v>0</v>
      </c>
      <c r="H94" s="30">
        <f>N(3429.2)</f>
        <v>3429.2</v>
      </c>
      <c r="I94" s="30">
        <f t="shared" ref="I94:M96" si="80">N(0)</f>
        <v>0</v>
      </c>
      <c r="J94" s="30">
        <f t="shared" si="80"/>
        <v>0</v>
      </c>
      <c r="K94" s="30">
        <f t="shared" si="80"/>
        <v>0</v>
      </c>
      <c r="L94" s="30">
        <f t="shared" si="80"/>
        <v>0</v>
      </c>
      <c r="M94" s="30">
        <f>N(362)</f>
        <v>362</v>
      </c>
      <c r="N94" s="30">
        <f>N(867)</f>
        <v>867</v>
      </c>
      <c r="O94" s="30">
        <f t="shared" ref="O94:O96" si="81">N(0)</f>
        <v>0</v>
      </c>
      <c r="P94" s="169">
        <f>SUM(D94:O94)</f>
        <v>11779.099999999999</v>
      </c>
    </row>
    <row r="95" spans="1:16" hidden="1" outlineLevel="2">
      <c r="A95" s="22"/>
      <c r="B95" s="28">
        <v>6550</v>
      </c>
      <c r="C95" s="29" t="s">
        <v>153</v>
      </c>
      <c r="D95" s="30">
        <f>N(12058)</f>
        <v>12058</v>
      </c>
      <c r="E95" s="30">
        <f>N(68512.61)</f>
        <v>68512.61</v>
      </c>
      <c r="F95" s="30">
        <f>N(9339.83)</f>
        <v>9339.83</v>
      </c>
      <c r="G95" s="30">
        <f t="shared" si="79"/>
        <v>0</v>
      </c>
      <c r="H95" s="30">
        <f>N(424.7)</f>
        <v>424.7</v>
      </c>
      <c r="I95" s="30">
        <f>N(927.64)</f>
        <v>927.64</v>
      </c>
      <c r="J95" s="30">
        <f t="shared" si="80"/>
        <v>0</v>
      </c>
      <c r="K95" s="30">
        <f t="shared" si="80"/>
        <v>0</v>
      </c>
      <c r="L95" s="30">
        <f t="shared" si="80"/>
        <v>0</v>
      </c>
      <c r="M95" s="30">
        <f t="shared" si="80"/>
        <v>0</v>
      </c>
      <c r="N95" s="30">
        <f>N(8695)</f>
        <v>8695</v>
      </c>
      <c r="O95" s="30">
        <f t="shared" si="81"/>
        <v>0</v>
      </c>
      <c r="P95" s="169">
        <f>SUM(D95:O95)</f>
        <v>99957.78</v>
      </c>
    </row>
    <row r="96" spans="1:16" hidden="1" outlineLevel="2">
      <c r="A96" s="22"/>
      <c r="B96" s="28">
        <v>6551</v>
      </c>
      <c r="C96" s="29" t="s">
        <v>154</v>
      </c>
      <c r="D96" s="30">
        <f>N(43259.85)</f>
        <v>43259.85</v>
      </c>
      <c r="E96" s="30">
        <f>N(76977.99)</f>
        <v>76977.990000000005</v>
      </c>
      <c r="F96" s="30">
        <f>N(5771)</f>
        <v>5771</v>
      </c>
      <c r="G96" s="30">
        <f t="shared" si="79"/>
        <v>0</v>
      </c>
      <c r="H96" s="30">
        <f t="shared" si="79"/>
        <v>0</v>
      </c>
      <c r="I96" s="30">
        <f t="shared" si="79"/>
        <v>0</v>
      </c>
      <c r="J96" s="30">
        <f t="shared" si="80"/>
        <v>0</v>
      </c>
      <c r="K96" s="30">
        <f>N(2006.4)</f>
        <v>2006.4</v>
      </c>
      <c r="L96" s="30">
        <f>N(0)</f>
        <v>0</v>
      </c>
      <c r="M96" s="30">
        <f>N(24439.99)</f>
        <v>24439.99</v>
      </c>
      <c r="N96" s="30">
        <f>N(24010)</f>
        <v>24010</v>
      </c>
      <c r="O96" s="30">
        <f t="shared" si="81"/>
        <v>0</v>
      </c>
      <c r="P96" s="169">
        <f>SUM(D96:O96)</f>
        <v>176465.22999999998</v>
      </c>
    </row>
    <row r="97" spans="1:16" outlineLevel="1" collapsed="1">
      <c r="A97" s="22"/>
      <c r="B97" s="35" t="str">
        <f>"    "&amp;"Verktøy, inventar og driftsmateriell"</f>
        <v xml:space="preserve">    Verktøy, inventar og driftsmateriell</v>
      </c>
      <c r="C97" s="36"/>
      <c r="D97" s="33">
        <f t="shared" ref="D97:P97" si="82">SUM(D94:D96)</f>
        <v>55317.85</v>
      </c>
      <c r="E97" s="33">
        <f t="shared" si="82"/>
        <v>152611.5</v>
      </c>
      <c r="F97" s="33">
        <f t="shared" si="82"/>
        <v>15110.83</v>
      </c>
      <c r="G97" s="33">
        <f t="shared" si="82"/>
        <v>0</v>
      </c>
      <c r="H97" s="33">
        <f t="shared" si="82"/>
        <v>3853.8999999999996</v>
      </c>
      <c r="I97" s="33">
        <f t="shared" si="82"/>
        <v>927.64</v>
      </c>
      <c r="J97" s="33">
        <f t="shared" si="82"/>
        <v>0</v>
      </c>
      <c r="K97" s="33">
        <f t="shared" si="82"/>
        <v>2006.4</v>
      </c>
      <c r="L97" s="33">
        <f t="shared" si="82"/>
        <v>0</v>
      </c>
      <c r="M97" s="33">
        <f t="shared" si="82"/>
        <v>24801.99</v>
      </c>
      <c r="N97" s="33">
        <f t="shared" si="82"/>
        <v>33572</v>
      </c>
      <c r="O97" s="33">
        <f t="shared" si="82"/>
        <v>0</v>
      </c>
      <c r="P97" s="170">
        <f t="shared" si="82"/>
        <v>288202.11</v>
      </c>
    </row>
    <row r="98" spans="1:16" hidden="1" outlineLevel="2">
      <c r="A98" s="22"/>
      <c r="B98" s="28">
        <v>6701</v>
      </c>
      <c r="C98" s="29" t="s">
        <v>156</v>
      </c>
      <c r="D98" s="30">
        <f>N(41200)</f>
        <v>41200</v>
      </c>
      <c r="E98" s="30">
        <f>N(193542.15)</f>
        <v>193542.15</v>
      </c>
      <c r="F98" s="30">
        <f t="shared" ref="F98:O100" si="83">N(0)</f>
        <v>0</v>
      </c>
      <c r="G98" s="30">
        <f t="shared" si="83"/>
        <v>0</v>
      </c>
      <c r="H98" s="30">
        <f t="shared" si="83"/>
        <v>0</v>
      </c>
      <c r="I98" s="30">
        <f t="shared" si="83"/>
        <v>0</v>
      </c>
      <c r="J98" s="30">
        <f t="shared" si="83"/>
        <v>0</v>
      </c>
      <c r="K98" s="30">
        <f t="shared" si="83"/>
        <v>0</v>
      </c>
      <c r="L98" s="30">
        <f t="shared" si="83"/>
        <v>0</v>
      </c>
      <c r="M98" s="30">
        <f t="shared" si="83"/>
        <v>0</v>
      </c>
      <c r="N98" s="30">
        <f t="shared" si="83"/>
        <v>0</v>
      </c>
      <c r="O98" s="30">
        <f t="shared" si="83"/>
        <v>0</v>
      </c>
      <c r="P98" s="169">
        <f>SUM(D98:O98)</f>
        <v>234742.15</v>
      </c>
    </row>
    <row r="99" spans="1:16" hidden="1" outlineLevel="2">
      <c r="A99" s="22"/>
      <c r="B99" s="28">
        <v>6705</v>
      </c>
      <c r="C99" s="29" t="s">
        <v>157</v>
      </c>
      <c r="D99" s="30">
        <f>N(63669.06)</f>
        <v>63669.06</v>
      </c>
      <c r="E99" s="30">
        <f>N(847056.68)</f>
        <v>847056.68</v>
      </c>
      <c r="F99" s="30">
        <f t="shared" si="83"/>
        <v>0</v>
      </c>
      <c r="G99" s="30">
        <f t="shared" si="83"/>
        <v>0</v>
      </c>
      <c r="H99" s="30">
        <f t="shared" si="83"/>
        <v>0</v>
      </c>
      <c r="I99" s="30">
        <f t="shared" si="83"/>
        <v>0</v>
      </c>
      <c r="J99" s="30">
        <f t="shared" si="83"/>
        <v>0</v>
      </c>
      <c r="K99" s="30">
        <f t="shared" si="83"/>
        <v>0</v>
      </c>
      <c r="L99" s="30">
        <f t="shared" si="83"/>
        <v>0</v>
      </c>
      <c r="M99" s="30">
        <f t="shared" si="83"/>
        <v>0</v>
      </c>
      <c r="N99" s="30">
        <f t="shared" si="83"/>
        <v>0</v>
      </c>
      <c r="O99" s="30">
        <f t="shared" si="83"/>
        <v>0</v>
      </c>
      <c r="P99" s="169">
        <f>SUM(D99:O99)</f>
        <v>910725.74</v>
      </c>
    </row>
    <row r="100" spans="1:16" hidden="1" outlineLevel="2">
      <c r="A100" s="22"/>
      <c r="B100" s="28">
        <v>6790</v>
      </c>
      <c r="C100" s="29" t="s">
        <v>158</v>
      </c>
      <c r="D100" s="30">
        <f>N(0)</f>
        <v>0</v>
      </c>
      <c r="E100" s="30">
        <f>N(563424.79)</f>
        <v>563424.79</v>
      </c>
      <c r="F100" s="30">
        <f>N(6140.28)</f>
        <v>6140.28</v>
      </c>
      <c r="G100" s="30">
        <f>N(0)</f>
        <v>0</v>
      </c>
      <c r="H100" s="30">
        <f>N(18030.47)</f>
        <v>18030.47</v>
      </c>
      <c r="I100" s="30">
        <f t="shared" si="83"/>
        <v>0</v>
      </c>
      <c r="J100" s="30">
        <f t="shared" si="83"/>
        <v>0</v>
      </c>
      <c r="K100" s="30">
        <f>N(12402)</f>
        <v>12402</v>
      </c>
      <c r="L100" s="30">
        <f>N(0)</f>
        <v>0</v>
      </c>
      <c r="M100" s="30">
        <f>N(11600)</f>
        <v>11600</v>
      </c>
      <c r="N100" s="30">
        <f>N(46554.25)</f>
        <v>46554.25</v>
      </c>
      <c r="O100" s="30">
        <f>N(0)</f>
        <v>0</v>
      </c>
      <c r="P100" s="169">
        <f>SUM(D100:O100)</f>
        <v>658151.79</v>
      </c>
    </row>
    <row r="101" spans="1:16" outlineLevel="1" collapsed="1">
      <c r="A101" s="22"/>
      <c r="B101" s="35" t="str">
        <f>"    "&amp;"Fremmed tjeneste"</f>
        <v xml:space="preserve">    Fremmed tjeneste</v>
      </c>
      <c r="C101" s="36"/>
      <c r="D101" s="33">
        <f t="shared" ref="D101:P101" si="84">SUM(D98:D100)</f>
        <v>104869.06</v>
      </c>
      <c r="E101" s="33">
        <f t="shared" si="84"/>
        <v>1604023.62</v>
      </c>
      <c r="F101" s="33">
        <f t="shared" si="84"/>
        <v>6140.28</v>
      </c>
      <c r="G101" s="33">
        <f t="shared" si="84"/>
        <v>0</v>
      </c>
      <c r="H101" s="33">
        <f t="shared" si="84"/>
        <v>18030.47</v>
      </c>
      <c r="I101" s="33">
        <f t="shared" si="84"/>
        <v>0</v>
      </c>
      <c r="J101" s="33">
        <f t="shared" si="84"/>
        <v>0</v>
      </c>
      <c r="K101" s="33">
        <f t="shared" si="84"/>
        <v>12402</v>
      </c>
      <c r="L101" s="33">
        <f t="shared" si="84"/>
        <v>0</v>
      </c>
      <c r="M101" s="33">
        <f t="shared" si="84"/>
        <v>11600</v>
      </c>
      <c r="N101" s="33">
        <f t="shared" si="84"/>
        <v>46554.25</v>
      </c>
      <c r="O101" s="33">
        <f t="shared" si="84"/>
        <v>0</v>
      </c>
      <c r="P101" s="170">
        <f t="shared" si="84"/>
        <v>1803619.68</v>
      </c>
    </row>
    <row r="102" spans="1:16" hidden="1" outlineLevel="2">
      <c r="A102" s="22"/>
      <c r="B102" s="28">
        <v>6800</v>
      </c>
      <c r="C102" s="29" t="s">
        <v>160</v>
      </c>
      <c r="D102" s="30">
        <f>N(2862)</f>
        <v>2862</v>
      </c>
      <c r="E102" s="30">
        <f>N(32953.38)</f>
        <v>32953.379999999997</v>
      </c>
      <c r="F102" s="30">
        <f t="shared" ref="F102:J107" si="85">N(0)</f>
        <v>0</v>
      </c>
      <c r="G102" s="30">
        <f t="shared" si="85"/>
        <v>0</v>
      </c>
      <c r="H102" s="30">
        <f t="shared" si="85"/>
        <v>0</v>
      </c>
      <c r="I102" s="30">
        <f t="shared" si="85"/>
        <v>0</v>
      </c>
      <c r="J102" s="30">
        <f t="shared" si="85"/>
        <v>0</v>
      </c>
      <c r="K102" s="30">
        <f>N(532.7)</f>
        <v>532.70000000000005</v>
      </c>
      <c r="L102" s="30">
        <f t="shared" ref="L102:L107" si="86">N(0)</f>
        <v>0</v>
      </c>
      <c r="M102" s="30">
        <f>N(446.05)</f>
        <v>446.05</v>
      </c>
      <c r="N102" s="30">
        <f>N(199)</f>
        <v>199</v>
      </c>
      <c r="O102" s="30">
        <f t="shared" ref="O102:O107" si="87">N(0)</f>
        <v>0</v>
      </c>
      <c r="P102" s="169">
        <f t="shared" ref="P102:P107" si="88">SUM(D102:O102)</f>
        <v>36993.129999999997</v>
      </c>
    </row>
    <row r="103" spans="1:16" hidden="1" outlineLevel="2">
      <c r="A103" s="22"/>
      <c r="B103" s="28">
        <v>6820</v>
      </c>
      <c r="C103" s="29" t="s">
        <v>161</v>
      </c>
      <c r="D103" s="30">
        <f>N(13375)</f>
        <v>13375</v>
      </c>
      <c r="E103" s="30">
        <f>N(20086.88)</f>
        <v>20086.88</v>
      </c>
      <c r="F103" s="30">
        <f>N(26875)</f>
        <v>26875</v>
      </c>
      <c r="G103" s="30">
        <f t="shared" si="85"/>
        <v>0</v>
      </c>
      <c r="H103" s="30">
        <f>N(95847)</f>
        <v>95847</v>
      </c>
      <c r="I103" s="30">
        <f t="shared" si="85"/>
        <v>0</v>
      </c>
      <c r="J103" s="30">
        <f t="shared" si="85"/>
        <v>0</v>
      </c>
      <c r="K103" s="30">
        <f>N(0)</f>
        <v>0</v>
      </c>
      <c r="L103" s="30">
        <f t="shared" si="86"/>
        <v>0</v>
      </c>
      <c r="M103" s="30">
        <f>N(28989)</f>
        <v>28989</v>
      </c>
      <c r="N103" s="30">
        <f>N(44278.75)</f>
        <v>44278.75</v>
      </c>
      <c r="O103" s="30">
        <f t="shared" si="87"/>
        <v>0</v>
      </c>
      <c r="P103" s="169">
        <f t="shared" si="88"/>
        <v>229451.63</v>
      </c>
    </row>
    <row r="104" spans="1:16" hidden="1" outlineLevel="2">
      <c r="A104" s="22"/>
      <c r="B104" s="28">
        <v>6840</v>
      </c>
      <c r="C104" s="29" t="s">
        <v>162</v>
      </c>
      <c r="D104" s="30">
        <f>N(3186)</f>
        <v>3186</v>
      </c>
      <c r="E104" s="30">
        <f>N(13381.8)</f>
        <v>13381.8</v>
      </c>
      <c r="F104" s="30">
        <f>N(649)</f>
        <v>649</v>
      </c>
      <c r="G104" s="30">
        <f t="shared" si="85"/>
        <v>0</v>
      </c>
      <c r="H104" s="30">
        <f t="shared" si="85"/>
        <v>0</v>
      </c>
      <c r="I104" s="30">
        <f t="shared" si="85"/>
        <v>0</v>
      </c>
      <c r="J104" s="30">
        <f t="shared" si="85"/>
        <v>0</v>
      </c>
      <c r="K104" s="30">
        <f>N(10201.3)</f>
        <v>10201.299999999999</v>
      </c>
      <c r="L104" s="30">
        <f t="shared" si="86"/>
        <v>0</v>
      </c>
      <c r="M104" s="30">
        <f>N(3120)</f>
        <v>3120</v>
      </c>
      <c r="N104" s="30">
        <f>N(0)</f>
        <v>0</v>
      </c>
      <c r="O104" s="30">
        <f t="shared" si="87"/>
        <v>0</v>
      </c>
      <c r="P104" s="169">
        <f t="shared" si="88"/>
        <v>30538.1</v>
      </c>
    </row>
    <row r="105" spans="1:16" hidden="1" outlineLevel="2">
      <c r="A105" s="22"/>
      <c r="B105" s="28">
        <v>6860</v>
      </c>
      <c r="C105" s="29" t="s">
        <v>164</v>
      </c>
      <c r="D105" s="30">
        <f>N(34897)</f>
        <v>34897</v>
      </c>
      <c r="E105" s="30">
        <f>N(23624.5)</f>
        <v>23624.5</v>
      </c>
      <c r="F105" s="30">
        <f>N(42520.5)</f>
        <v>42520.5</v>
      </c>
      <c r="G105" s="30">
        <f t="shared" si="85"/>
        <v>0</v>
      </c>
      <c r="H105" s="30">
        <f t="shared" si="85"/>
        <v>0</v>
      </c>
      <c r="I105" s="30">
        <f t="shared" si="85"/>
        <v>0</v>
      </c>
      <c r="J105" s="30">
        <f t="shared" si="85"/>
        <v>0</v>
      </c>
      <c r="K105" s="30">
        <f>N(20326)</f>
        <v>20326</v>
      </c>
      <c r="L105" s="30">
        <f t="shared" si="86"/>
        <v>0</v>
      </c>
      <c r="M105" s="30">
        <f>N(24110.9)</f>
        <v>24110.9</v>
      </c>
      <c r="N105" s="30">
        <f>N(112465.64)</f>
        <v>112465.64</v>
      </c>
      <c r="O105" s="30">
        <f t="shared" si="87"/>
        <v>0</v>
      </c>
      <c r="P105" s="169">
        <f t="shared" si="88"/>
        <v>257944.53999999998</v>
      </c>
    </row>
    <row r="106" spans="1:16" hidden="1" outlineLevel="2">
      <c r="A106" s="22"/>
      <c r="B106" s="28">
        <v>6870</v>
      </c>
      <c r="C106" s="29" t="s">
        <v>165</v>
      </c>
      <c r="D106" s="30">
        <f t="shared" ref="D106:D107" si="89">N(0)</f>
        <v>0</v>
      </c>
      <c r="E106" s="30">
        <f>N(3387)</f>
        <v>3387</v>
      </c>
      <c r="F106" s="30">
        <f t="shared" ref="F106:F107" si="90">N(0)</f>
        <v>0</v>
      </c>
      <c r="G106" s="30">
        <f t="shared" si="85"/>
        <v>0</v>
      </c>
      <c r="H106" s="30">
        <f t="shared" si="85"/>
        <v>0</v>
      </c>
      <c r="I106" s="30">
        <f t="shared" si="85"/>
        <v>0</v>
      </c>
      <c r="J106" s="30">
        <f t="shared" si="85"/>
        <v>0</v>
      </c>
      <c r="K106" s="30">
        <f>N(411.87)</f>
        <v>411.87</v>
      </c>
      <c r="L106" s="30">
        <f t="shared" si="86"/>
        <v>0</v>
      </c>
      <c r="M106" s="30">
        <f>N(412.16)</f>
        <v>412.16</v>
      </c>
      <c r="N106" s="30">
        <f>N(4165)</f>
        <v>4165</v>
      </c>
      <c r="O106" s="30">
        <f t="shared" si="87"/>
        <v>0</v>
      </c>
      <c r="P106" s="169">
        <f t="shared" si="88"/>
        <v>8376.0299999999988</v>
      </c>
    </row>
    <row r="107" spans="1:16" hidden="1" outlineLevel="2">
      <c r="A107" s="22"/>
      <c r="B107" s="28">
        <v>6890</v>
      </c>
      <c r="C107" s="29" t="s">
        <v>166</v>
      </c>
      <c r="D107" s="30">
        <f t="shared" si="89"/>
        <v>0</v>
      </c>
      <c r="E107" s="30">
        <f>N(1628.5)</f>
        <v>1628.5</v>
      </c>
      <c r="F107" s="30">
        <f t="shared" si="90"/>
        <v>0</v>
      </c>
      <c r="G107" s="30">
        <f t="shared" si="85"/>
        <v>0</v>
      </c>
      <c r="H107" s="30">
        <f t="shared" si="85"/>
        <v>0</v>
      </c>
      <c r="I107" s="30">
        <f t="shared" si="85"/>
        <v>0</v>
      </c>
      <c r="J107" s="30">
        <f t="shared" si="85"/>
        <v>0</v>
      </c>
      <c r="K107" s="30">
        <f>N(63467.71)</f>
        <v>63467.71</v>
      </c>
      <c r="L107" s="30">
        <f t="shared" si="86"/>
        <v>0</v>
      </c>
      <c r="M107" s="30">
        <f>N(3957.56)</f>
        <v>3957.56</v>
      </c>
      <c r="N107" s="30">
        <f>N(0)</f>
        <v>0</v>
      </c>
      <c r="O107" s="30">
        <f t="shared" si="87"/>
        <v>0</v>
      </c>
      <c r="P107" s="169">
        <f t="shared" si="88"/>
        <v>69053.77</v>
      </c>
    </row>
    <row r="108" spans="1:16" outlineLevel="1" collapsed="1">
      <c r="A108" s="22"/>
      <c r="B108" s="35" t="str">
        <f>"    "&amp;"Kontor, oppdatering o.l."</f>
        <v xml:space="preserve">    Kontor, oppdatering o.l.</v>
      </c>
      <c r="C108" s="36"/>
      <c r="D108" s="33">
        <f t="shared" ref="D108:P108" si="91">SUM(D102:D107)</f>
        <v>54320</v>
      </c>
      <c r="E108" s="33">
        <f t="shared" si="91"/>
        <v>95062.06</v>
      </c>
      <c r="F108" s="33">
        <f t="shared" si="91"/>
        <v>70044.5</v>
      </c>
      <c r="G108" s="33">
        <f t="shared" si="91"/>
        <v>0</v>
      </c>
      <c r="H108" s="33">
        <f t="shared" si="91"/>
        <v>95847</v>
      </c>
      <c r="I108" s="33">
        <f t="shared" si="91"/>
        <v>0</v>
      </c>
      <c r="J108" s="33">
        <f t="shared" si="91"/>
        <v>0</v>
      </c>
      <c r="K108" s="33">
        <f t="shared" si="91"/>
        <v>94939.58</v>
      </c>
      <c r="L108" s="33">
        <f t="shared" si="91"/>
        <v>0</v>
      </c>
      <c r="M108" s="33">
        <f t="shared" si="91"/>
        <v>61035.67</v>
      </c>
      <c r="N108" s="33">
        <f t="shared" si="91"/>
        <v>161108.39000000001</v>
      </c>
      <c r="O108" s="33">
        <f t="shared" si="91"/>
        <v>0</v>
      </c>
      <c r="P108" s="170">
        <f t="shared" si="91"/>
        <v>632357.19999999995</v>
      </c>
    </row>
    <row r="109" spans="1:16" hidden="1" outlineLevel="2">
      <c r="A109" s="22"/>
      <c r="B109" s="28">
        <v>6900</v>
      </c>
      <c r="C109" s="29" t="s">
        <v>167</v>
      </c>
      <c r="D109" s="30">
        <f>N(16434.23)</f>
        <v>16434.23</v>
      </c>
      <c r="E109" s="30">
        <f>N(25290.72)</f>
        <v>25290.720000000001</v>
      </c>
      <c r="F109" s="30">
        <f>N(1738)</f>
        <v>1738</v>
      </c>
      <c r="G109" s="30">
        <f t="shared" ref="G109:I112" si="92">N(0)</f>
        <v>0</v>
      </c>
      <c r="H109" s="30">
        <f t="shared" si="92"/>
        <v>0</v>
      </c>
      <c r="I109" s="30">
        <f>N(14250)</f>
        <v>14250</v>
      </c>
      <c r="J109" s="30">
        <f t="shared" ref="J109:J112" si="93">N(0)</f>
        <v>0</v>
      </c>
      <c r="K109" s="30">
        <f>N(5102.75)</f>
        <v>5102.75</v>
      </c>
      <c r="L109" s="30">
        <f t="shared" ref="L109:N112" si="94">N(0)</f>
        <v>0</v>
      </c>
      <c r="M109" s="30">
        <f>N(1935.2)</f>
        <v>1935.2</v>
      </c>
      <c r="N109" s="30">
        <f>N(8527.98)</f>
        <v>8527.98</v>
      </c>
      <c r="O109" s="30">
        <f t="shared" ref="O109:O111" si="95">N(0)</f>
        <v>0</v>
      </c>
      <c r="P109" s="169">
        <f>SUM(D109:O109)</f>
        <v>73278.87999999999</v>
      </c>
    </row>
    <row r="110" spans="1:16" hidden="1" outlineLevel="2">
      <c r="A110" s="22"/>
      <c r="B110" s="28">
        <v>6902</v>
      </c>
      <c r="C110" s="29" t="s">
        <v>169</v>
      </c>
      <c r="D110" s="30">
        <f t="shared" ref="D110:D111" si="96">N(0)</f>
        <v>0</v>
      </c>
      <c r="E110" s="30">
        <f>N(7462.5)</f>
        <v>7462.5</v>
      </c>
      <c r="F110" s="30">
        <f>N(7460)</f>
        <v>7460</v>
      </c>
      <c r="G110" s="30">
        <f t="shared" si="92"/>
        <v>0</v>
      </c>
      <c r="H110" s="30">
        <f t="shared" si="92"/>
        <v>0</v>
      </c>
      <c r="I110" s="30">
        <f t="shared" si="92"/>
        <v>0</v>
      </c>
      <c r="J110" s="30">
        <f t="shared" si="93"/>
        <v>0</v>
      </c>
      <c r="K110" s="30">
        <f>N(0)</f>
        <v>0</v>
      </c>
      <c r="L110" s="30">
        <f t="shared" si="94"/>
        <v>0</v>
      </c>
      <c r="M110" s="30">
        <f t="shared" si="94"/>
        <v>0</v>
      </c>
      <c r="N110" s="30">
        <f t="shared" si="94"/>
        <v>0</v>
      </c>
      <c r="O110" s="30">
        <f t="shared" si="95"/>
        <v>0</v>
      </c>
      <c r="P110" s="169">
        <f>SUM(D110:O110)</f>
        <v>14922.5</v>
      </c>
    </row>
    <row r="111" spans="1:16" hidden="1" outlineLevel="2">
      <c r="A111" s="22"/>
      <c r="B111" s="28">
        <v>6905</v>
      </c>
      <c r="C111" s="29" t="s">
        <v>170</v>
      </c>
      <c r="D111" s="30">
        <f t="shared" si="96"/>
        <v>0</v>
      </c>
      <c r="E111" s="30">
        <f>N(2082.86)</f>
        <v>2082.86</v>
      </c>
      <c r="F111" s="30">
        <f>N(5445.31)</f>
        <v>5445.31</v>
      </c>
      <c r="G111" s="30">
        <f t="shared" si="92"/>
        <v>0</v>
      </c>
      <c r="H111" s="30">
        <f t="shared" si="92"/>
        <v>0</v>
      </c>
      <c r="I111" s="30">
        <f t="shared" si="92"/>
        <v>0</v>
      </c>
      <c r="J111" s="30">
        <f t="shared" si="93"/>
        <v>0</v>
      </c>
      <c r="K111" s="30">
        <f>N(934)</f>
        <v>934</v>
      </c>
      <c r="L111" s="30">
        <f t="shared" si="94"/>
        <v>0</v>
      </c>
      <c r="M111" s="30">
        <f t="shared" si="94"/>
        <v>0</v>
      </c>
      <c r="N111" s="30">
        <f t="shared" si="94"/>
        <v>0</v>
      </c>
      <c r="O111" s="30">
        <f t="shared" si="95"/>
        <v>0</v>
      </c>
      <c r="P111" s="169">
        <f>SUM(D111:O111)</f>
        <v>8462.17</v>
      </c>
    </row>
    <row r="112" spans="1:16" hidden="1" outlineLevel="2">
      <c r="A112" s="22"/>
      <c r="B112" s="28">
        <v>6940</v>
      </c>
      <c r="C112" s="29" t="s">
        <v>171</v>
      </c>
      <c r="D112" s="30">
        <f>N(7681.65)</f>
        <v>7681.65</v>
      </c>
      <c r="E112" s="30">
        <f>N(5356.75)</f>
        <v>5356.75</v>
      </c>
      <c r="F112" s="30">
        <f>N(23753.5)</f>
        <v>23753.5</v>
      </c>
      <c r="G112" s="30">
        <f t="shared" si="92"/>
        <v>0</v>
      </c>
      <c r="H112" s="30">
        <f>N(618.75)</f>
        <v>618.75</v>
      </c>
      <c r="I112" s="30">
        <f>N(3818)</f>
        <v>3818</v>
      </c>
      <c r="J112" s="30">
        <f t="shared" si="93"/>
        <v>0</v>
      </c>
      <c r="K112" s="30">
        <f>N(0)</f>
        <v>0</v>
      </c>
      <c r="L112" s="30">
        <f t="shared" si="94"/>
        <v>0</v>
      </c>
      <c r="M112" s="30">
        <f>N(5233.75)</f>
        <v>5233.75</v>
      </c>
      <c r="N112" s="30">
        <f>N(0)</f>
        <v>0</v>
      </c>
      <c r="O112" s="30">
        <f>N(1925)</f>
        <v>1925</v>
      </c>
      <c r="P112" s="169">
        <f>SUM(D112:O112)</f>
        <v>48387.4</v>
      </c>
    </row>
    <row r="113" spans="1:16" outlineLevel="1" collapsed="1">
      <c r="A113" s="22"/>
      <c r="B113" s="35" t="str">
        <f>"    "&amp;"Telefon og porto o.l."</f>
        <v xml:space="preserve">    Telefon og porto o.l.</v>
      </c>
      <c r="C113" s="36"/>
      <c r="D113" s="33">
        <f t="shared" ref="D113:P113" si="97">SUM(D109:D112)</f>
        <v>24115.879999999997</v>
      </c>
      <c r="E113" s="33">
        <f t="shared" si="97"/>
        <v>40192.83</v>
      </c>
      <c r="F113" s="33">
        <f t="shared" si="97"/>
        <v>38396.81</v>
      </c>
      <c r="G113" s="33">
        <f t="shared" si="97"/>
        <v>0</v>
      </c>
      <c r="H113" s="33">
        <f t="shared" si="97"/>
        <v>618.75</v>
      </c>
      <c r="I113" s="33">
        <f t="shared" si="97"/>
        <v>18068</v>
      </c>
      <c r="J113" s="33">
        <f t="shared" si="97"/>
        <v>0</v>
      </c>
      <c r="K113" s="33">
        <f t="shared" si="97"/>
        <v>6036.75</v>
      </c>
      <c r="L113" s="33">
        <f t="shared" si="97"/>
        <v>0</v>
      </c>
      <c r="M113" s="33">
        <f t="shared" si="97"/>
        <v>7168.95</v>
      </c>
      <c r="N113" s="33">
        <f t="shared" si="97"/>
        <v>8527.98</v>
      </c>
      <c r="O113" s="33">
        <f t="shared" si="97"/>
        <v>1925</v>
      </c>
      <c r="P113" s="170">
        <f t="shared" si="97"/>
        <v>145050.94999999998</v>
      </c>
    </row>
    <row r="114" spans="1:16" hidden="1" outlineLevel="2">
      <c r="A114" s="22"/>
      <c r="B114" s="28">
        <v>7171</v>
      </c>
      <c r="C114" s="29" t="s">
        <v>172</v>
      </c>
      <c r="D114" s="30">
        <f>N(1065.66)</f>
        <v>1065.6600000000001</v>
      </c>
      <c r="E114" s="30">
        <f t="shared" ref="E114:O117" si="98">N(0)</f>
        <v>0</v>
      </c>
      <c r="F114" s="30">
        <f t="shared" si="98"/>
        <v>0</v>
      </c>
      <c r="G114" s="30">
        <f t="shared" si="98"/>
        <v>0</v>
      </c>
      <c r="H114" s="30">
        <f t="shared" si="98"/>
        <v>0</v>
      </c>
      <c r="I114" s="30">
        <f t="shared" si="98"/>
        <v>0</v>
      </c>
      <c r="J114" s="30">
        <f t="shared" si="98"/>
        <v>0</v>
      </c>
      <c r="K114" s="30">
        <f t="shared" si="98"/>
        <v>0</v>
      </c>
      <c r="L114" s="30">
        <f t="shared" si="98"/>
        <v>0</v>
      </c>
      <c r="M114" s="30">
        <f t="shared" si="98"/>
        <v>0</v>
      </c>
      <c r="N114" s="30">
        <f t="shared" si="98"/>
        <v>0</v>
      </c>
      <c r="O114" s="30">
        <f t="shared" si="98"/>
        <v>0</v>
      </c>
      <c r="P114" s="169">
        <f>SUM(D114:O114)</f>
        <v>1065.6600000000001</v>
      </c>
    </row>
    <row r="115" spans="1:16" hidden="1" outlineLevel="2">
      <c r="A115" s="22"/>
      <c r="B115" s="28">
        <v>7730</v>
      </c>
      <c r="C115" s="29" t="s">
        <v>173</v>
      </c>
      <c r="D115" s="30">
        <f>N(3510684.17)</f>
        <v>3510684.17</v>
      </c>
      <c r="E115" s="30">
        <f t="shared" si="98"/>
        <v>0</v>
      </c>
      <c r="F115" s="30">
        <f t="shared" si="98"/>
        <v>0</v>
      </c>
      <c r="G115" s="30">
        <f t="shared" si="98"/>
        <v>0</v>
      </c>
      <c r="H115" s="30">
        <f t="shared" si="98"/>
        <v>0</v>
      </c>
      <c r="I115" s="30">
        <f t="shared" si="98"/>
        <v>0</v>
      </c>
      <c r="J115" s="30">
        <f t="shared" si="98"/>
        <v>0</v>
      </c>
      <c r="K115" s="30">
        <f t="shared" si="98"/>
        <v>0</v>
      </c>
      <c r="L115" s="30">
        <f t="shared" si="98"/>
        <v>0</v>
      </c>
      <c r="M115" s="30">
        <f t="shared" si="98"/>
        <v>0</v>
      </c>
      <c r="N115" s="30">
        <f t="shared" si="98"/>
        <v>0</v>
      </c>
      <c r="O115" s="30">
        <f t="shared" si="98"/>
        <v>0</v>
      </c>
      <c r="P115" s="169">
        <f>SUM(D115:O115)</f>
        <v>3510684.17</v>
      </c>
    </row>
    <row r="116" spans="1:16" hidden="1" outlineLevel="2">
      <c r="A116" s="22"/>
      <c r="B116" s="28">
        <v>7731</v>
      </c>
      <c r="C116" s="29" t="s">
        <v>174</v>
      </c>
      <c r="D116" s="30">
        <f>N(2707375.8)</f>
        <v>2707375.8</v>
      </c>
      <c r="E116" s="30">
        <f t="shared" si="98"/>
        <v>0</v>
      </c>
      <c r="F116" s="30">
        <f t="shared" si="98"/>
        <v>0</v>
      </c>
      <c r="G116" s="30">
        <f t="shared" si="98"/>
        <v>0</v>
      </c>
      <c r="H116" s="30">
        <f t="shared" si="98"/>
        <v>0</v>
      </c>
      <c r="I116" s="30">
        <f t="shared" si="98"/>
        <v>0</v>
      </c>
      <c r="J116" s="30">
        <f t="shared" si="98"/>
        <v>0</v>
      </c>
      <c r="K116" s="30">
        <f t="shared" si="98"/>
        <v>0</v>
      </c>
      <c r="L116" s="30">
        <f t="shared" si="98"/>
        <v>0</v>
      </c>
      <c r="M116" s="30">
        <f t="shared" si="98"/>
        <v>0</v>
      </c>
      <c r="N116" s="30">
        <f t="shared" si="98"/>
        <v>0</v>
      </c>
      <c r="O116" s="30">
        <f t="shared" si="98"/>
        <v>0</v>
      </c>
      <c r="P116" s="169">
        <f>SUM(D116:O116)</f>
        <v>2707375.8</v>
      </c>
    </row>
    <row r="117" spans="1:16" hidden="1" outlineLevel="2">
      <c r="A117" s="22"/>
      <c r="B117" s="28">
        <v>7735</v>
      </c>
      <c r="C117" s="29" t="s">
        <v>175</v>
      </c>
      <c r="D117" s="30">
        <f>N(1806761.65)</f>
        <v>1806761.65</v>
      </c>
      <c r="E117" s="30">
        <f t="shared" si="98"/>
        <v>0</v>
      </c>
      <c r="F117" s="30">
        <f t="shared" si="98"/>
        <v>0</v>
      </c>
      <c r="G117" s="30">
        <f t="shared" si="98"/>
        <v>0</v>
      </c>
      <c r="H117" s="30">
        <f t="shared" si="98"/>
        <v>0</v>
      </c>
      <c r="I117" s="30">
        <f t="shared" si="98"/>
        <v>0</v>
      </c>
      <c r="J117" s="30">
        <f t="shared" si="98"/>
        <v>0</v>
      </c>
      <c r="K117" s="30">
        <f t="shared" si="98"/>
        <v>0</v>
      </c>
      <c r="L117" s="30">
        <f t="shared" si="98"/>
        <v>0</v>
      </c>
      <c r="M117" s="30">
        <f t="shared" si="98"/>
        <v>0</v>
      </c>
      <c r="N117" s="30">
        <f t="shared" si="98"/>
        <v>0</v>
      </c>
      <c r="O117" s="30">
        <f t="shared" si="98"/>
        <v>0</v>
      </c>
      <c r="P117" s="169">
        <f>SUM(D117:O117)</f>
        <v>1806761.65</v>
      </c>
    </row>
    <row r="118" spans="1:16" outlineLevel="1" collapsed="1">
      <c r="A118" s="22"/>
      <c r="B118" s="35" t="str">
        <f>"    "&amp;"Evangelisering og misjon"</f>
        <v xml:space="preserve">    Evangelisering og misjon</v>
      </c>
      <c r="C118" s="36"/>
      <c r="D118" s="33">
        <f t="shared" ref="D118:P118" si="99">SUM(D114:D117)</f>
        <v>8025887.2799999993</v>
      </c>
      <c r="E118" s="33">
        <f t="shared" si="99"/>
        <v>0</v>
      </c>
      <c r="F118" s="33">
        <f t="shared" si="99"/>
        <v>0</v>
      </c>
      <c r="G118" s="33">
        <f t="shared" si="99"/>
        <v>0</v>
      </c>
      <c r="H118" s="33">
        <f t="shared" si="99"/>
        <v>0</v>
      </c>
      <c r="I118" s="33">
        <f t="shared" si="99"/>
        <v>0</v>
      </c>
      <c r="J118" s="33">
        <f t="shared" si="99"/>
        <v>0</v>
      </c>
      <c r="K118" s="33">
        <f t="shared" si="99"/>
        <v>0</v>
      </c>
      <c r="L118" s="33">
        <f t="shared" si="99"/>
        <v>0</v>
      </c>
      <c r="M118" s="33">
        <f t="shared" si="99"/>
        <v>0</v>
      </c>
      <c r="N118" s="33">
        <f t="shared" si="99"/>
        <v>0</v>
      </c>
      <c r="O118" s="33">
        <f t="shared" si="99"/>
        <v>0</v>
      </c>
      <c r="P118" s="170">
        <f t="shared" si="99"/>
        <v>8025887.2799999993</v>
      </c>
    </row>
    <row r="119" spans="1:16" hidden="1" outlineLevel="2">
      <c r="A119" s="22"/>
      <c r="B119" s="28">
        <v>7100</v>
      </c>
      <c r="C119" s="29" t="s">
        <v>176</v>
      </c>
      <c r="D119" s="30">
        <f>N(1575)</f>
        <v>1575</v>
      </c>
      <c r="E119" s="30">
        <f>N(1207)</f>
        <v>1207</v>
      </c>
      <c r="F119" s="30">
        <f t="shared" ref="F119:H124" si="100">N(0)</f>
        <v>0</v>
      </c>
      <c r="G119" s="30">
        <f t="shared" si="100"/>
        <v>0</v>
      </c>
      <c r="H119" s="30">
        <f>N(17900)</f>
        <v>17900</v>
      </c>
      <c r="I119" s="30">
        <f t="shared" ref="I119:K124" si="101">N(0)</f>
        <v>0</v>
      </c>
      <c r="J119" s="30">
        <f t="shared" si="101"/>
        <v>0</v>
      </c>
      <c r="K119" s="30">
        <f>N(14052.5)</f>
        <v>14052.5</v>
      </c>
      <c r="L119" s="30">
        <f t="shared" ref="L119:L124" si="102">N(0)</f>
        <v>0</v>
      </c>
      <c r="M119" s="30">
        <f>N(71980.2)</f>
        <v>71980.2</v>
      </c>
      <c r="N119" s="30">
        <f>N(42630.1)</f>
        <v>42630.1</v>
      </c>
      <c r="O119" s="30">
        <f t="shared" ref="O119:O124" si="103">N(0)</f>
        <v>0</v>
      </c>
      <c r="P119" s="169">
        <f t="shared" ref="P119:P124" si="104">SUM(D119:O119)</f>
        <v>149344.79999999999</v>
      </c>
    </row>
    <row r="120" spans="1:16" hidden="1" outlineLevel="2">
      <c r="A120" s="22"/>
      <c r="B120" s="28">
        <v>7101</v>
      </c>
      <c r="C120" s="29" t="s">
        <v>177</v>
      </c>
      <c r="D120" s="30">
        <f>N(44848.4)</f>
        <v>44848.4</v>
      </c>
      <c r="E120" s="30">
        <f>N(-5355.6)</f>
        <v>-5355.6</v>
      </c>
      <c r="F120" s="30">
        <f>N(1897)</f>
        <v>1897</v>
      </c>
      <c r="G120" s="30">
        <f t="shared" si="100"/>
        <v>0</v>
      </c>
      <c r="H120" s="30">
        <f>N(4379.5)</f>
        <v>4379.5</v>
      </c>
      <c r="I120" s="30">
        <f t="shared" si="101"/>
        <v>0</v>
      </c>
      <c r="J120" s="30">
        <f t="shared" si="101"/>
        <v>0</v>
      </c>
      <c r="K120" s="30">
        <f>N(103370)</f>
        <v>103370</v>
      </c>
      <c r="L120" s="30">
        <f t="shared" si="102"/>
        <v>0</v>
      </c>
      <c r="M120" s="30">
        <f>N(15827.2)</f>
        <v>15827.2</v>
      </c>
      <c r="N120" s="30">
        <f>N(36934.9)</f>
        <v>36934.9</v>
      </c>
      <c r="O120" s="30">
        <f t="shared" si="103"/>
        <v>0</v>
      </c>
      <c r="P120" s="169">
        <f t="shared" si="104"/>
        <v>201901.4</v>
      </c>
    </row>
    <row r="121" spans="1:16" hidden="1" outlineLevel="2">
      <c r="A121" s="22"/>
      <c r="B121" s="28">
        <v>7140</v>
      </c>
      <c r="C121" s="29" t="s">
        <v>178</v>
      </c>
      <c r="D121" s="30">
        <f>N(248820.24)</f>
        <v>248820.24</v>
      </c>
      <c r="E121" s="30">
        <f>N(22898.85)</f>
        <v>22898.85</v>
      </c>
      <c r="F121" s="30">
        <f>N(3098)</f>
        <v>3098</v>
      </c>
      <c r="G121" s="30">
        <f t="shared" si="100"/>
        <v>0</v>
      </c>
      <c r="H121" s="30">
        <f>N(26783.6)</f>
        <v>26783.599999999999</v>
      </c>
      <c r="I121" s="30">
        <f t="shared" si="101"/>
        <v>0</v>
      </c>
      <c r="J121" s="30">
        <f t="shared" si="101"/>
        <v>0</v>
      </c>
      <c r="K121" s="30">
        <f>N(145874.06)</f>
        <v>145874.06</v>
      </c>
      <c r="L121" s="30">
        <f t="shared" si="102"/>
        <v>0</v>
      </c>
      <c r="M121" s="30">
        <f>N(302296.61)</f>
        <v>302296.61</v>
      </c>
      <c r="N121" s="30">
        <f>N(201152.72)</f>
        <v>201152.72</v>
      </c>
      <c r="O121" s="30">
        <f t="shared" si="103"/>
        <v>0</v>
      </c>
      <c r="P121" s="169">
        <f t="shared" si="104"/>
        <v>950924.07999999984</v>
      </c>
    </row>
    <row r="122" spans="1:16" hidden="1" outlineLevel="2">
      <c r="A122" s="22"/>
      <c r="B122" s="28">
        <v>7141</v>
      </c>
      <c r="C122" s="29" t="s">
        <v>179</v>
      </c>
      <c r="D122" s="30">
        <f>N(291746.25)</f>
        <v>291746.25</v>
      </c>
      <c r="E122" s="30">
        <f t="shared" ref="E122:F124" si="105">N(0)</f>
        <v>0</v>
      </c>
      <c r="F122" s="30">
        <f>N(11238.65)</f>
        <v>11238.65</v>
      </c>
      <c r="G122" s="30">
        <f t="shared" si="100"/>
        <v>0</v>
      </c>
      <c r="H122" s="30">
        <f t="shared" si="100"/>
        <v>0</v>
      </c>
      <c r="I122" s="30">
        <f t="shared" si="101"/>
        <v>0</v>
      </c>
      <c r="J122" s="30">
        <f t="shared" si="101"/>
        <v>0</v>
      </c>
      <c r="K122" s="30">
        <f t="shared" si="101"/>
        <v>0</v>
      </c>
      <c r="L122" s="30">
        <f t="shared" si="102"/>
        <v>0</v>
      </c>
      <c r="M122" s="30">
        <f>N(23772.41)</f>
        <v>23772.41</v>
      </c>
      <c r="N122" s="30">
        <f>N(22243.28)</f>
        <v>22243.279999999999</v>
      </c>
      <c r="O122" s="30">
        <f t="shared" si="103"/>
        <v>0</v>
      </c>
      <c r="P122" s="169">
        <f t="shared" si="104"/>
        <v>349000.58999999997</v>
      </c>
    </row>
    <row r="123" spans="1:16" hidden="1" outlineLevel="2">
      <c r="A123" s="22"/>
      <c r="B123" s="28">
        <v>7150</v>
      </c>
      <c r="C123" s="29" t="s">
        <v>180</v>
      </c>
      <c r="D123" s="30">
        <f>N(11564)</f>
        <v>11564</v>
      </c>
      <c r="E123" s="30">
        <f t="shared" si="105"/>
        <v>0</v>
      </c>
      <c r="F123" s="30">
        <f t="shared" si="105"/>
        <v>0</v>
      </c>
      <c r="G123" s="30">
        <f t="shared" si="100"/>
        <v>0</v>
      </c>
      <c r="H123" s="30">
        <f t="shared" si="100"/>
        <v>0</v>
      </c>
      <c r="I123" s="30">
        <f t="shared" si="101"/>
        <v>0</v>
      </c>
      <c r="J123" s="30">
        <f t="shared" si="101"/>
        <v>0</v>
      </c>
      <c r="K123" s="30">
        <f t="shared" si="101"/>
        <v>0</v>
      </c>
      <c r="L123" s="30">
        <f t="shared" si="102"/>
        <v>0</v>
      </c>
      <c r="M123" s="30">
        <f>N(4198)</f>
        <v>4198</v>
      </c>
      <c r="N123" s="30">
        <f t="shared" ref="N123:N124" si="106">N(0)</f>
        <v>0</v>
      </c>
      <c r="O123" s="30">
        <f t="shared" si="103"/>
        <v>0</v>
      </c>
      <c r="P123" s="169">
        <f t="shared" si="104"/>
        <v>15762</v>
      </c>
    </row>
    <row r="124" spans="1:16" hidden="1" outlineLevel="2">
      <c r="A124" s="22"/>
      <c r="B124" s="28">
        <v>7151</v>
      </c>
      <c r="C124" s="29" t="s">
        <v>181</v>
      </c>
      <c r="D124" s="30">
        <f>N(4134)</f>
        <v>4134</v>
      </c>
      <c r="E124" s="30">
        <f t="shared" si="105"/>
        <v>0</v>
      </c>
      <c r="F124" s="30">
        <f t="shared" si="105"/>
        <v>0</v>
      </c>
      <c r="G124" s="30">
        <f t="shared" si="100"/>
        <v>0</v>
      </c>
      <c r="H124" s="30">
        <f t="shared" si="100"/>
        <v>0</v>
      </c>
      <c r="I124" s="30">
        <f t="shared" si="101"/>
        <v>0</v>
      </c>
      <c r="J124" s="30">
        <f t="shared" si="101"/>
        <v>0</v>
      </c>
      <c r="K124" s="30">
        <f t="shared" si="101"/>
        <v>0</v>
      </c>
      <c r="L124" s="30">
        <f t="shared" si="102"/>
        <v>0</v>
      </c>
      <c r="M124" s="30">
        <f>N(1110)</f>
        <v>1110</v>
      </c>
      <c r="N124" s="30">
        <f t="shared" si="106"/>
        <v>0</v>
      </c>
      <c r="O124" s="30">
        <f t="shared" si="103"/>
        <v>0</v>
      </c>
      <c r="P124" s="169">
        <f t="shared" si="104"/>
        <v>5244</v>
      </c>
    </row>
    <row r="125" spans="1:16" outlineLevel="1" collapsed="1">
      <c r="A125" s="22"/>
      <c r="B125" s="35" t="str">
        <f>"    "&amp;"Reise"</f>
        <v xml:space="preserve">    Reise</v>
      </c>
      <c r="C125" s="36"/>
      <c r="D125" s="33">
        <f t="shared" ref="D125:P125" si="107">SUM(D119:D124)</f>
        <v>602687.89</v>
      </c>
      <c r="E125" s="33">
        <f t="shared" si="107"/>
        <v>18750.25</v>
      </c>
      <c r="F125" s="33">
        <f t="shared" si="107"/>
        <v>16233.65</v>
      </c>
      <c r="G125" s="33">
        <f t="shared" si="107"/>
        <v>0</v>
      </c>
      <c r="H125" s="33">
        <f t="shared" si="107"/>
        <v>49063.1</v>
      </c>
      <c r="I125" s="33">
        <f t="shared" si="107"/>
        <v>0</v>
      </c>
      <c r="J125" s="33">
        <f t="shared" si="107"/>
        <v>0</v>
      </c>
      <c r="K125" s="33">
        <f t="shared" si="107"/>
        <v>263296.56</v>
      </c>
      <c r="L125" s="33">
        <f t="shared" si="107"/>
        <v>0</v>
      </c>
      <c r="M125" s="33">
        <f t="shared" si="107"/>
        <v>419184.42</v>
      </c>
      <c r="N125" s="33">
        <f t="shared" si="107"/>
        <v>302961</v>
      </c>
      <c r="O125" s="33">
        <f t="shared" si="107"/>
        <v>0</v>
      </c>
      <c r="P125" s="170">
        <f t="shared" si="107"/>
        <v>1672176.8699999996</v>
      </c>
    </row>
    <row r="126" spans="1:16" hidden="1" outlineLevel="2">
      <c r="A126" s="22"/>
      <c r="B126" s="28">
        <v>7320</v>
      </c>
      <c r="C126" s="29" t="s">
        <v>183</v>
      </c>
      <c r="D126" s="30">
        <f>N(50000)</f>
        <v>50000</v>
      </c>
      <c r="E126" s="30">
        <f>N(81781.25)</f>
        <v>81781.25</v>
      </c>
      <c r="F126" s="30">
        <f t="shared" ref="F126:M127" si="108">N(0)</f>
        <v>0</v>
      </c>
      <c r="G126" s="30">
        <f t="shared" si="108"/>
        <v>0</v>
      </c>
      <c r="H126" s="30">
        <f t="shared" si="108"/>
        <v>0</v>
      </c>
      <c r="I126" s="30">
        <f t="shared" si="108"/>
        <v>0</v>
      </c>
      <c r="J126" s="30">
        <f t="shared" si="108"/>
        <v>0</v>
      </c>
      <c r="K126" s="30">
        <f t="shared" si="108"/>
        <v>0</v>
      </c>
      <c r="L126" s="30">
        <f t="shared" si="108"/>
        <v>0</v>
      </c>
      <c r="M126" s="30">
        <f>N(31250)</f>
        <v>31250</v>
      </c>
      <c r="N126" s="30">
        <f t="shared" ref="N126:O127" si="109">N(0)</f>
        <v>0</v>
      </c>
      <c r="O126" s="30">
        <f t="shared" si="109"/>
        <v>0</v>
      </c>
      <c r="P126" s="169">
        <f>SUM(D126:O126)</f>
        <v>163031.25</v>
      </c>
    </row>
    <row r="127" spans="1:16" hidden="1" outlineLevel="2">
      <c r="A127" s="22"/>
      <c r="B127" s="28">
        <v>7331</v>
      </c>
      <c r="C127" s="29" t="s">
        <v>184</v>
      </c>
      <c r="D127" s="30">
        <f t="shared" ref="D127:E127" si="110">N(0)</f>
        <v>0</v>
      </c>
      <c r="E127" s="30">
        <f t="shared" si="110"/>
        <v>0</v>
      </c>
      <c r="F127" s="30">
        <f t="shared" si="108"/>
        <v>0</v>
      </c>
      <c r="G127" s="30">
        <f t="shared" si="108"/>
        <v>0</v>
      </c>
      <c r="H127" s="30">
        <f>N(1179)</f>
        <v>1179</v>
      </c>
      <c r="I127" s="30">
        <f t="shared" si="108"/>
        <v>0</v>
      </c>
      <c r="J127" s="30">
        <f t="shared" si="108"/>
        <v>0</v>
      </c>
      <c r="K127" s="30">
        <f t="shared" si="108"/>
        <v>0</v>
      </c>
      <c r="L127" s="30">
        <f t="shared" si="108"/>
        <v>0</v>
      </c>
      <c r="M127" s="30">
        <f t="shared" si="108"/>
        <v>0</v>
      </c>
      <c r="N127" s="30">
        <f t="shared" si="109"/>
        <v>0</v>
      </c>
      <c r="O127" s="30">
        <f t="shared" si="109"/>
        <v>0</v>
      </c>
      <c r="P127" s="169">
        <f>SUM(D127:O127)</f>
        <v>1179</v>
      </c>
    </row>
    <row r="128" spans="1:16" outlineLevel="1" collapsed="1">
      <c r="A128" s="22"/>
      <c r="B128" s="35" t="str">
        <f>"    "&amp;"Salgs-, reklame- og representasjonskostnader"</f>
        <v xml:space="preserve">    Salgs-, reklame- og representasjonskostnader</v>
      </c>
      <c r="C128" s="36"/>
      <c r="D128" s="33">
        <f t="shared" ref="D128:P128" si="111">SUM(D126:D127)</f>
        <v>50000</v>
      </c>
      <c r="E128" s="33">
        <f t="shared" si="111"/>
        <v>81781.25</v>
      </c>
      <c r="F128" s="33">
        <f t="shared" si="111"/>
        <v>0</v>
      </c>
      <c r="G128" s="33">
        <f t="shared" si="111"/>
        <v>0</v>
      </c>
      <c r="H128" s="33">
        <f t="shared" si="111"/>
        <v>1179</v>
      </c>
      <c r="I128" s="33">
        <f t="shared" si="111"/>
        <v>0</v>
      </c>
      <c r="J128" s="33">
        <f t="shared" si="111"/>
        <v>0</v>
      </c>
      <c r="K128" s="33">
        <f t="shared" si="111"/>
        <v>0</v>
      </c>
      <c r="L128" s="33">
        <f t="shared" si="111"/>
        <v>0</v>
      </c>
      <c r="M128" s="33">
        <f t="shared" si="111"/>
        <v>31250</v>
      </c>
      <c r="N128" s="33">
        <f t="shared" si="111"/>
        <v>0</v>
      </c>
      <c r="O128" s="33">
        <f t="shared" si="111"/>
        <v>0</v>
      </c>
      <c r="P128" s="170">
        <f t="shared" si="111"/>
        <v>164210.25</v>
      </c>
    </row>
    <row r="129" spans="1:16" hidden="1" outlineLevel="2">
      <c r="A129" s="22"/>
      <c r="B129" s="28">
        <v>7410</v>
      </c>
      <c r="C129" s="29" t="s">
        <v>185</v>
      </c>
      <c r="D129" s="30">
        <f>N(56665)</f>
        <v>56665</v>
      </c>
      <c r="E129" s="30">
        <f>N(25783)</f>
        <v>25783</v>
      </c>
      <c r="F129" s="30">
        <f>N(20450)</f>
        <v>20450</v>
      </c>
      <c r="G129" s="30">
        <f t="shared" ref="G129:M136" si="112">N(0)</f>
        <v>0</v>
      </c>
      <c r="H129" s="30">
        <f t="shared" si="112"/>
        <v>0</v>
      </c>
      <c r="I129" s="30">
        <f t="shared" si="112"/>
        <v>0</v>
      </c>
      <c r="J129" s="30">
        <f t="shared" si="112"/>
        <v>0</v>
      </c>
      <c r="K129" s="30">
        <f t="shared" si="112"/>
        <v>0</v>
      </c>
      <c r="L129" s="30">
        <f t="shared" si="112"/>
        <v>0</v>
      </c>
      <c r="M129" s="30">
        <f>N(107420.2)</f>
        <v>107420.2</v>
      </c>
      <c r="N129" s="30">
        <f>N(24398)</f>
        <v>24398</v>
      </c>
      <c r="O129" s="30">
        <f t="shared" ref="O129:O135" si="113">N(0)</f>
        <v>0</v>
      </c>
      <c r="P129" s="169">
        <f t="shared" ref="P129:P136" si="114">SUM(D129:O129)</f>
        <v>234716.2</v>
      </c>
    </row>
    <row r="130" spans="1:16" hidden="1" outlineLevel="2">
      <c r="A130" s="22"/>
      <c r="B130" s="28">
        <v>7430</v>
      </c>
      <c r="C130" s="29" t="s">
        <v>186</v>
      </c>
      <c r="D130" s="30">
        <f t="shared" ref="D130:G136" si="115">N(0)</f>
        <v>0</v>
      </c>
      <c r="E130" s="30">
        <f t="shared" si="115"/>
        <v>0</v>
      </c>
      <c r="F130" s="30">
        <f t="shared" si="115"/>
        <v>0</v>
      </c>
      <c r="G130" s="30">
        <f t="shared" si="112"/>
        <v>0</v>
      </c>
      <c r="H130" s="30">
        <f t="shared" si="112"/>
        <v>0</v>
      </c>
      <c r="I130" s="30">
        <f t="shared" si="112"/>
        <v>0</v>
      </c>
      <c r="J130" s="30">
        <f t="shared" si="112"/>
        <v>0</v>
      </c>
      <c r="K130" s="30">
        <f t="shared" si="112"/>
        <v>0</v>
      </c>
      <c r="L130" s="30">
        <f t="shared" si="112"/>
        <v>0</v>
      </c>
      <c r="M130" s="30">
        <f>N(48692)</f>
        <v>48692</v>
      </c>
      <c r="N130" s="30">
        <f t="shared" ref="N130:N136" si="116">N(0)</f>
        <v>0</v>
      </c>
      <c r="O130" s="30">
        <f t="shared" si="113"/>
        <v>0</v>
      </c>
      <c r="P130" s="169">
        <f t="shared" si="114"/>
        <v>48692</v>
      </c>
    </row>
    <row r="131" spans="1:16" hidden="1" outlineLevel="2">
      <c r="A131" s="22"/>
      <c r="B131" s="28">
        <v>7437</v>
      </c>
      <c r="C131" s="29" t="s">
        <v>188</v>
      </c>
      <c r="D131" s="30">
        <f t="shared" si="115"/>
        <v>0</v>
      </c>
      <c r="E131" s="30">
        <f t="shared" si="115"/>
        <v>0</v>
      </c>
      <c r="F131" s="30">
        <f t="shared" si="115"/>
        <v>0</v>
      </c>
      <c r="G131" s="30">
        <f>N(951500)</f>
        <v>951500</v>
      </c>
      <c r="H131" s="30">
        <f t="shared" si="112"/>
        <v>0</v>
      </c>
      <c r="I131" s="30">
        <f t="shared" si="112"/>
        <v>0</v>
      </c>
      <c r="J131" s="30">
        <f t="shared" si="112"/>
        <v>0</v>
      </c>
      <c r="K131" s="30">
        <f t="shared" si="112"/>
        <v>0</v>
      </c>
      <c r="L131" s="30">
        <f t="shared" si="112"/>
        <v>0</v>
      </c>
      <c r="M131" s="30">
        <f t="shared" si="112"/>
        <v>0</v>
      </c>
      <c r="N131" s="30">
        <f t="shared" si="116"/>
        <v>0</v>
      </c>
      <c r="O131" s="30">
        <f t="shared" si="113"/>
        <v>0</v>
      </c>
      <c r="P131" s="169">
        <f t="shared" si="114"/>
        <v>951500</v>
      </c>
    </row>
    <row r="132" spans="1:16" hidden="1" outlineLevel="2">
      <c r="A132" s="22"/>
      <c r="B132" s="28">
        <v>7439</v>
      </c>
      <c r="C132" s="29" t="s">
        <v>189</v>
      </c>
      <c r="D132" s="30">
        <f t="shared" si="115"/>
        <v>0</v>
      </c>
      <c r="E132" s="30">
        <f t="shared" si="115"/>
        <v>0</v>
      </c>
      <c r="F132" s="30">
        <f t="shared" si="115"/>
        <v>0</v>
      </c>
      <c r="G132" s="30">
        <f>N(4548060)</f>
        <v>4548060</v>
      </c>
      <c r="H132" s="30">
        <f t="shared" si="112"/>
        <v>0</v>
      </c>
      <c r="I132" s="30">
        <f t="shared" si="112"/>
        <v>0</v>
      </c>
      <c r="J132" s="30">
        <f t="shared" si="112"/>
        <v>0</v>
      </c>
      <c r="K132" s="30">
        <f t="shared" si="112"/>
        <v>0</v>
      </c>
      <c r="L132" s="30">
        <f t="shared" si="112"/>
        <v>0</v>
      </c>
      <c r="M132" s="30">
        <f t="shared" si="112"/>
        <v>0</v>
      </c>
      <c r="N132" s="30">
        <f t="shared" si="116"/>
        <v>0</v>
      </c>
      <c r="O132" s="30">
        <f t="shared" si="113"/>
        <v>0</v>
      </c>
      <c r="P132" s="169">
        <f t="shared" si="114"/>
        <v>4548060</v>
      </c>
    </row>
    <row r="133" spans="1:16" hidden="1" outlineLevel="2">
      <c r="A133" s="22"/>
      <c r="B133" s="28">
        <v>7445</v>
      </c>
      <c r="C133" s="29" t="s">
        <v>191</v>
      </c>
      <c r="D133" s="30">
        <f t="shared" si="115"/>
        <v>0</v>
      </c>
      <c r="E133" s="30">
        <f t="shared" si="115"/>
        <v>0</v>
      </c>
      <c r="F133" s="30">
        <f t="shared" si="115"/>
        <v>0</v>
      </c>
      <c r="G133" s="30">
        <f t="shared" si="115"/>
        <v>0</v>
      </c>
      <c r="H133" s="30">
        <f t="shared" si="112"/>
        <v>0</v>
      </c>
      <c r="I133" s="30">
        <f t="shared" si="112"/>
        <v>0</v>
      </c>
      <c r="J133" s="30">
        <f t="shared" si="112"/>
        <v>0</v>
      </c>
      <c r="K133" s="30">
        <f>N(6820)</f>
        <v>6820</v>
      </c>
      <c r="L133" s="30">
        <f t="shared" si="112"/>
        <v>0</v>
      </c>
      <c r="M133" s="30">
        <f>N(55180)</f>
        <v>55180</v>
      </c>
      <c r="N133" s="30">
        <f t="shared" si="116"/>
        <v>0</v>
      </c>
      <c r="O133" s="30">
        <f t="shared" si="113"/>
        <v>0</v>
      </c>
      <c r="P133" s="169">
        <f t="shared" si="114"/>
        <v>62000</v>
      </c>
    </row>
    <row r="134" spans="1:16" hidden="1" outlineLevel="2">
      <c r="A134" s="22"/>
      <c r="B134" s="28">
        <v>7447</v>
      </c>
      <c r="C134" s="29" t="s">
        <v>192</v>
      </c>
      <c r="D134" s="30">
        <f t="shared" si="115"/>
        <v>0</v>
      </c>
      <c r="E134" s="30">
        <f t="shared" si="115"/>
        <v>0</v>
      </c>
      <c r="F134" s="30">
        <f t="shared" si="115"/>
        <v>0</v>
      </c>
      <c r="G134" s="30">
        <f t="shared" si="115"/>
        <v>0</v>
      </c>
      <c r="H134" s="30">
        <f t="shared" si="112"/>
        <v>0</v>
      </c>
      <c r="I134" s="30">
        <f t="shared" si="112"/>
        <v>0</v>
      </c>
      <c r="J134" s="30">
        <f t="shared" si="112"/>
        <v>0</v>
      </c>
      <c r="K134" s="30">
        <f t="shared" si="112"/>
        <v>0</v>
      </c>
      <c r="L134" s="30">
        <f t="shared" si="112"/>
        <v>0</v>
      </c>
      <c r="M134" s="30">
        <f>N(73730)</f>
        <v>73730</v>
      </c>
      <c r="N134" s="30">
        <f t="shared" si="116"/>
        <v>0</v>
      </c>
      <c r="O134" s="30">
        <f t="shared" si="113"/>
        <v>0</v>
      </c>
      <c r="P134" s="169">
        <f t="shared" si="114"/>
        <v>73730</v>
      </c>
    </row>
    <row r="135" spans="1:16" hidden="1" outlineLevel="2">
      <c r="A135" s="22"/>
      <c r="B135" s="28">
        <v>7460</v>
      </c>
      <c r="C135" s="29" t="s">
        <v>194</v>
      </c>
      <c r="D135" s="30">
        <f t="shared" si="115"/>
        <v>0</v>
      </c>
      <c r="E135" s="30">
        <f t="shared" si="115"/>
        <v>0</v>
      </c>
      <c r="F135" s="30">
        <f t="shared" si="115"/>
        <v>0</v>
      </c>
      <c r="G135" s="30">
        <f t="shared" si="115"/>
        <v>0</v>
      </c>
      <c r="H135" s="30">
        <f t="shared" si="112"/>
        <v>0</v>
      </c>
      <c r="I135" s="30">
        <f t="shared" si="112"/>
        <v>0</v>
      </c>
      <c r="J135" s="30">
        <f>N(634815.56)</f>
        <v>634815.56000000006</v>
      </c>
      <c r="K135" s="30">
        <f t="shared" si="112"/>
        <v>0</v>
      </c>
      <c r="L135" s="30">
        <f t="shared" si="112"/>
        <v>0</v>
      </c>
      <c r="M135" s="30">
        <f t="shared" si="112"/>
        <v>0</v>
      </c>
      <c r="N135" s="30">
        <f t="shared" si="116"/>
        <v>0</v>
      </c>
      <c r="O135" s="30">
        <f t="shared" si="113"/>
        <v>0</v>
      </c>
      <c r="P135" s="169">
        <f t="shared" si="114"/>
        <v>634815.56000000006</v>
      </c>
    </row>
    <row r="136" spans="1:16" hidden="1" outlineLevel="2">
      <c r="A136" s="22"/>
      <c r="B136" s="28">
        <v>7461</v>
      </c>
      <c r="C136" s="29" t="s">
        <v>195</v>
      </c>
      <c r="D136" s="30">
        <f t="shared" si="115"/>
        <v>0</v>
      </c>
      <c r="E136" s="30">
        <f t="shared" si="115"/>
        <v>0</v>
      </c>
      <c r="F136" s="30">
        <f t="shared" si="115"/>
        <v>0</v>
      </c>
      <c r="G136" s="30">
        <f t="shared" si="115"/>
        <v>0</v>
      </c>
      <c r="H136" s="30">
        <f t="shared" si="112"/>
        <v>0</v>
      </c>
      <c r="I136" s="30">
        <f t="shared" si="112"/>
        <v>0</v>
      </c>
      <c r="J136" s="30">
        <f>N(0)</f>
        <v>0</v>
      </c>
      <c r="K136" s="30">
        <f t="shared" si="112"/>
        <v>0</v>
      </c>
      <c r="L136" s="30">
        <f t="shared" si="112"/>
        <v>0</v>
      </c>
      <c r="M136" s="30">
        <f t="shared" si="112"/>
        <v>0</v>
      </c>
      <c r="N136" s="30">
        <f t="shared" si="116"/>
        <v>0</v>
      </c>
      <c r="O136" s="30">
        <f>N(2493915.8)</f>
        <v>2493915.7999999998</v>
      </c>
      <c r="P136" s="169">
        <f t="shared" si="114"/>
        <v>2493915.7999999998</v>
      </c>
    </row>
    <row r="137" spans="1:16" outlineLevel="1" collapsed="1">
      <c r="A137" s="22"/>
      <c r="B137" s="35" t="str">
        <f>"    "&amp;"Kontingent og bevilgninger"</f>
        <v xml:space="preserve">    Kontingent og bevilgninger</v>
      </c>
      <c r="C137" s="36"/>
      <c r="D137" s="33">
        <f t="shared" ref="D137:P137" si="117">SUM(D129:D136)</f>
        <v>56665</v>
      </c>
      <c r="E137" s="33">
        <f t="shared" si="117"/>
        <v>25783</v>
      </c>
      <c r="F137" s="33">
        <f t="shared" si="117"/>
        <v>20450</v>
      </c>
      <c r="G137" s="33">
        <f t="shared" si="117"/>
        <v>5499560</v>
      </c>
      <c r="H137" s="33">
        <f t="shared" si="117"/>
        <v>0</v>
      </c>
      <c r="I137" s="33">
        <f t="shared" si="117"/>
        <v>0</v>
      </c>
      <c r="J137" s="33">
        <f t="shared" si="117"/>
        <v>634815.56000000006</v>
      </c>
      <c r="K137" s="33">
        <f t="shared" si="117"/>
        <v>6820</v>
      </c>
      <c r="L137" s="33">
        <f t="shared" si="117"/>
        <v>0</v>
      </c>
      <c r="M137" s="33">
        <f t="shared" si="117"/>
        <v>285022.2</v>
      </c>
      <c r="N137" s="33">
        <f t="shared" si="117"/>
        <v>24398</v>
      </c>
      <c r="O137" s="33">
        <f t="shared" si="117"/>
        <v>2493915.7999999998</v>
      </c>
      <c r="P137" s="170">
        <f t="shared" si="117"/>
        <v>9047429.5599999987</v>
      </c>
    </row>
    <row r="138" spans="1:16" hidden="1" outlineLevel="2">
      <c r="A138" s="22"/>
      <c r="B138" s="28">
        <v>7500</v>
      </c>
      <c r="C138" s="29" t="s">
        <v>196</v>
      </c>
      <c r="D138" s="30">
        <f t="shared" ref="D138:D139" si="118">N(0)</f>
        <v>0</v>
      </c>
      <c r="E138" s="30">
        <f>N(2218)</f>
        <v>2218</v>
      </c>
      <c r="F138" s="30">
        <f t="shared" ref="F138:O139" si="119">N(0)</f>
        <v>0</v>
      </c>
      <c r="G138" s="30">
        <f t="shared" si="119"/>
        <v>0</v>
      </c>
      <c r="H138" s="30">
        <f t="shared" si="119"/>
        <v>0</v>
      </c>
      <c r="I138" s="30">
        <f t="shared" si="119"/>
        <v>0</v>
      </c>
      <c r="J138" s="30">
        <f t="shared" si="119"/>
        <v>0</v>
      </c>
      <c r="K138" s="30">
        <f t="shared" si="119"/>
        <v>0</v>
      </c>
      <c r="L138" s="30">
        <f t="shared" si="119"/>
        <v>0</v>
      </c>
      <c r="M138" s="30">
        <f t="shared" si="119"/>
        <v>0</v>
      </c>
      <c r="N138" s="30">
        <f t="shared" si="119"/>
        <v>0</v>
      </c>
      <c r="O138" s="30">
        <f t="shared" si="119"/>
        <v>0</v>
      </c>
      <c r="P138" s="169">
        <f>SUM(D138:O138)</f>
        <v>2218</v>
      </c>
    </row>
    <row r="139" spans="1:16" hidden="1" outlineLevel="2">
      <c r="A139" s="22"/>
      <c r="B139" s="28">
        <v>7510</v>
      </c>
      <c r="C139" s="29" t="s">
        <v>197</v>
      </c>
      <c r="D139" s="30">
        <f t="shared" si="118"/>
        <v>0</v>
      </c>
      <c r="E139" s="30">
        <f>N(0)</f>
        <v>0</v>
      </c>
      <c r="F139" s="30">
        <f t="shared" si="119"/>
        <v>0</v>
      </c>
      <c r="G139" s="30">
        <f t="shared" si="119"/>
        <v>0</v>
      </c>
      <c r="H139" s="30">
        <f t="shared" si="119"/>
        <v>0</v>
      </c>
      <c r="I139" s="30">
        <f>N(25693)</f>
        <v>25693</v>
      </c>
      <c r="J139" s="30">
        <f t="shared" si="119"/>
        <v>0</v>
      </c>
      <c r="K139" s="30">
        <f t="shared" si="119"/>
        <v>0</v>
      </c>
      <c r="L139" s="30">
        <f t="shared" si="119"/>
        <v>0</v>
      </c>
      <c r="M139" s="30">
        <f>N(5251)</f>
        <v>5251</v>
      </c>
      <c r="N139" s="30">
        <f t="shared" si="119"/>
        <v>0</v>
      </c>
      <c r="O139" s="30">
        <f t="shared" si="119"/>
        <v>0</v>
      </c>
      <c r="P139" s="169">
        <f>SUM(D139:O139)</f>
        <v>30944</v>
      </c>
    </row>
    <row r="140" spans="1:16" outlineLevel="1" collapsed="1">
      <c r="A140" s="22"/>
      <c r="B140" s="35" t="str">
        <f>"    "&amp;"Forsikringspremie, garanti- og servicekostnad"</f>
        <v xml:space="preserve">    Forsikringspremie, garanti- og servicekostnad</v>
      </c>
      <c r="C140" s="36"/>
      <c r="D140" s="33">
        <f t="shared" ref="D140:P140" si="120">SUM(D138:D139)</f>
        <v>0</v>
      </c>
      <c r="E140" s="33">
        <f t="shared" si="120"/>
        <v>2218</v>
      </c>
      <c r="F140" s="33">
        <f t="shared" si="120"/>
        <v>0</v>
      </c>
      <c r="G140" s="33">
        <f t="shared" si="120"/>
        <v>0</v>
      </c>
      <c r="H140" s="33">
        <f t="shared" si="120"/>
        <v>0</v>
      </c>
      <c r="I140" s="33">
        <f t="shared" si="120"/>
        <v>25693</v>
      </c>
      <c r="J140" s="33">
        <f t="shared" si="120"/>
        <v>0</v>
      </c>
      <c r="K140" s="33">
        <f t="shared" si="120"/>
        <v>0</v>
      </c>
      <c r="L140" s="33">
        <f t="shared" si="120"/>
        <v>0</v>
      </c>
      <c r="M140" s="33">
        <f t="shared" si="120"/>
        <v>5251</v>
      </c>
      <c r="N140" s="33">
        <f t="shared" si="120"/>
        <v>0</v>
      </c>
      <c r="O140" s="33">
        <f t="shared" si="120"/>
        <v>0</v>
      </c>
      <c r="P140" s="170">
        <f t="shared" si="120"/>
        <v>33162</v>
      </c>
    </row>
    <row r="141" spans="1:16" hidden="1" outlineLevel="2">
      <c r="A141" s="22"/>
      <c r="B141" s="28">
        <v>7700</v>
      </c>
      <c r="C141" s="29" t="s">
        <v>199</v>
      </c>
      <c r="D141" s="30">
        <f>N(120019.58)</f>
        <v>120019.58</v>
      </c>
      <c r="E141" s="30">
        <f>N(282129.58)</f>
        <v>282129.58</v>
      </c>
      <c r="F141" s="30">
        <f>N(1580)</f>
        <v>1580</v>
      </c>
      <c r="G141" s="30">
        <f t="shared" ref="G141:G146" si="121">N(0)</f>
        <v>0</v>
      </c>
      <c r="H141" s="30">
        <f>N(435)</f>
        <v>435</v>
      </c>
      <c r="I141" s="30">
        <f t="shared" ref="I141:K146" si="122">N(0)</f>
        <v>0</v>
      </c>
      <c r="J141" s="30">
        <f t="shared" si="122"/>
        <v>0</v>
      </c>
      <c r="K141" s="30">
        <f>N(61164.84)</f>
        <v>61164.84</v>
      </c>
      <c r="L141" s="30">
        <f t="shared" ref="L141:L146" si="123">N(0)</f>
        <v>0</v>
      </c>
      <c r="M141" s="30">
        <f>N(299894.4)</f>
        <v>299894.40000000002</v>
      </c>
      <c r="N141" s="30">
        <f>N(362602.55)</f>
        <v>362602.55</v>
      </c>
      <c r="O141" s="30">
        <f t="shared" ref="O141:O146" si="124">N(0)</f>
        <v>0</v>
      </c>
      <c r="P141" s="169">
        <f t="shared" ref="P141:P146" si="125">SUM(D141:O141)</f>
        <v>1127825.95</v>
      </c>
    </row>
    <row r="142" spans="1:16" hidden="1" outlineLevel="2">
      <c r="A142" s="22"/>
      <c r="B142" s="28">
        <v>7710</v>
      </c>
      <c r="C142" s="29" t="s">
        <v>200</v>
      </c>
      <c r="D142" s="30">
        <f>N(0)</f>
        <v>0</v>
      </c>
      <c r="E142" s="30">
        <f>N(900)</f>
        <v>900</v>
      </c>
      <c r="F142" s="30">
        <f t="shared" ref="F142:F143" si="126">N(0)</f>
        <v>0</v>
      </c>
      <c r="G142" s="30">
        <f t="shared" si="121"/>
        <v>0</v>
      </c>
      <c r="H142" s="30">
        <f>N(0)</f>
        <v>0</v>
      </c>
      <c r="I142" s="30">
        <f t="shared" si="122"/>
        <v>0</v>
      </c>
      <c r="J142" s="30">
        <f t="shared" si="122"/>
        <v>0</v>
      </c>
      <c r="K142" s="30">
        <f>N(10000)</f>
        <v>10000</v>
      </c>
      <c r="L142" s="30">
        <f t="shared" si="123"/>
        <v>0</v>
      </c>
      <c r="M142" s="30">
        <f>N(871746.5)</f>
        <v>871746.5</v>
      </c>
      <c r="N142" s="30">
        <f>N(0)</f>
        <v>0</v>
      </c>
      <c r="O142" s="30">
        <f t="shared" si="124"/>
        <v>0</v>
      </c>
      <c r="P142" s="169">
        <f t="shared" si="125"/>
        <v>882646.5</v>
      </c>
    </row>
    <row r="143" spans="1:16" hidden="1" outlineLevel="2">
      <c r="A143" s="22"/>
      <c r="B143" s="28">
        <v>7720</v>
      </c>
      <c r="C143" s="29" t="s">
        <v>201</v>
      </c>
      <c r="D143" s="30">
        <f>N(15828)</f>
        <v>15828</v>
      </c>
      <c r="E143" s="30">
        <f>N(0)</f>
        <v>0</v>
      </c>
      <c r="F143" s="30">
        <f t="shared" si="126"/>
        <v>0</v>
      </c>
      <c r="G143" s="30">
        <f t="shared" si="121"/>
        <v>0</v>
      </c>
      <c r="H143" s="30">
        <f>N(1352692.36)</f>
        <v>1352692.36</v>
      </c>
      <c r="I143" s="30">
        <f t="shared" si="122"/>
        <v>0</v>
      </c>
      <c r="J143" s="30">
        <f t="shared" si="122"/>
        <v>0</v>
      </c>
      <c r="K143" s="30">
        <f>N(5570)</f>
        <v>5570</v>
      </c>
      <c r="L143" s="30">
        <f t="shared" si="123"/>
        <v>0</v>
      </c>
      <c r="M143" s="30">
        <f>N(1265)</f>
        <v>1265</v>
      </c>
      <c r="N143" s="30">
        <f>N(25734)</f>
        <v>25734</v>
      </c>
      <c r="O143" s="30">
        <f t="shared" si="124"/>
        <v>0</v>
      </c>
      <c r="P143" s="169">
        <f t="shared" si="125"/>
        <v>1401089.36</v>
      </c>
    </row>
    <row r="144" spans="1:16" hidden="1" outlineLevel="2">
      <c r="A144" s="22"/>
      <c r="B144" s="28">
        <v>7770</v>
      </c>
      <c r="C144" s="29" t="s">
        <v>202</v>
      </c>
      <c r="D144" s="30">
        <f>N(21)</f>
        <v>21</v>
      </c>
      <c r="E144" s="30">
        <f>N(52005.56)</f>
        <v>52005.56</v>
      </c>
      <c r="F144" s="30">
        <f>N(336.51)</f>
        <v>336.51</v>
      </c>
      <c r="G144" s="30">
        <f t="shared" si="121"/>
        <v>0</v>
      </c>
      <c r="H144" s="30">
        <f>N(21700.53)</f>
        <v>21700.53</v>
      </c>
      <c r="I144" s="30">
        <f t="shared" si="122"/>
        <v>0</v>
      </c>
      <c r="J144" s="30">
        <f t="shared" si="122"/>
        <v>0</v>
      </c>
      <c r="K144" s="30">
        <f t="shared" si="122"/>
        <v>0</v>
      </c>
      <c r="L144" s="30">
        <f t="shared" si="123"/>
        <v>0</v>
      </c>
      <c r="M144" s="30">
        <f>N(16044.3)</f>
        <v>16044.3</v>
      </c>
      <c r="N144" s="30">
        <f>N(63174.53)</f>
        <v>63174.53</v>
      </c>
      <c r="O144" s="30">
        <f t="shared" si="124"/>
        <v>0</v>
      </c>
      <c r="P144" s="169">
        <f t="shared" si="125"/>
        <v>153282.43</v>
      </c>
    </row>
    <row r="145" spans="1:16" hidden="1" outlineLevel="2">
      <c r="A145" s="22"/>
      <c r="B145" s="28">
        <v>7790</v>
      </c>
      <c r="C145" s="29" t="s">
        <v>204</v>
      </c>
      <c r="D145" s="30">
        <f>N(10112.15)</f>
        <v>10112.15</v>
      </c>
      <c r="E145" s="30">
        <f>N(2774.06)</f>
        <v>2774.06</v>
      </c>
      <c r="F145" s="30">
        <f>N(119)</f>
        <v>119</v>
      </c>
      <c r="G145" s="30">
        <f t="shared" si="121"/>
        <v>0</v>
      </c>
      <c r="H145" s="30">
        <f>N(15185.97)</f>
        <v>15185.97</v>
      </c>
      <c r="I145" s="30">
        <f t="shared" si="122"/>
        <v>0</v>
      </c>
      <c r="J145" s="30">
        <f t="shared" si="122"/>
        <v>0</v>
      </c>
      <c r="K145" s="30">
        <f t="shared" si="122"/>
        <v>0</v>
      </c>
      <c r="L145" s="30">
        <f t="shared" si="123"/>
        <v>0</v>
      </c>
      <c r="M145" s="30">
        <f>N(9140)</f>
        <v>9140</v>
      </c>
      <c r="N145" s="30">
        <f>N(736.9)</f>
        <v>736.9</v>
      </c>
      <c r="O145" s="30">
        <f t="shared" si="124"/>
        <v>0</v>
      </c>
      <c r="P145" s="169">
        <f t="shared" si="125"/>
        <v>38068.080000000002</v>
      </c>
    </row>
    <row r="146" spans="1:16" hidden="1" outlineLevel="2">
      <c r="A146" s="22"/>
      <c r="B146" s="28">
        <v>7792</v>
      </c>
      <c r="C146" s="29" t="s">
        <v>206</v>
      </c>
      <c r="D146" s="30">
        <f>N(606.54)</f>
        <v>606.54</v>
      </c>
      <c r="E146" s="30">
        <f>N(6112)</f>
        <v>6112</v>
      </c>
      <c r="F146" s="30">
        <f>N(0)</f>
        <v>0</v>
      </c>
      <c r="G146" s="30">
        <f t="shared" si="121"/>
        <v>0</v>
      </c>
      <c r="H146" s="30">
        <f>N(9600)</f>
        <v>9600</v>
      </c>
      <c r="I146" s="30">
        <f>N(598)</f>
        <v>598</v>
      </c>
      <c r="J146" s="30">
        <f t="shared" si="122"/>
        <v>0</v>
      </c>
      <c r="K146" s="30">
        <f>N(318)</f>
        <v>318</v>
      </c>
      <c r="L146" s="30">
        <f t="shared" si="123"/>
        <v>0</v>
      </c>
      <c r="M146" s="30">
        <f>N(12411.36)</f>
        <v>12411.36</v>
      </c>
      <c r="N146" s="30">
        <f>N(0)</f>
        <v>0</v>
      </c>
      <c r="O146" s="30">
        <f t="shared" si="124"/>
        <v>0</v>
      </c>
      <c r="P146" s="169">
        <f t="shared" si="125"/>
        <v>29645.9</v>
      </c>
    </row>
    <row r="147" spans="1:16" outlineLevel="1" collapsed="1">
      <c r="A147" s="22"/>
      <c r="B147" s="35" t="str">
        <f>"    "&amp;"Annen kostnad"</f>
        <v xml:space="preserve">    Annen kostnad</v>
      </c>
      <c r="C147" s="36"/>
      <c r="D147" s="33">
        <f t="shared" ref="D147:P147" si="127">SUM(D141:D146)</f>
        <v>146587.27000000002</v>
      </c>
      <c r="E147" s="33">
        <f t="shared" si="127"/>
        <v>343921.2</v>
      </c>
      <c r="F147" s="33">
        <f t="shared" si="127"/>
        <v>2035.51</v>
      </c>
      <c r="G147" s="33">
        <f t="shared" si="127"/>
        <v>0</v>
      </c>
      <c r="H147" s="33">
        <f t="shared" si="127"/>
        <v>1399613.86</v>
      </c>
      <c r="I147" s="33">
        <f t="shared" si="127"/>
        <v>598</v>
      </c>
      <c r="J147" s="33">
        <f t="shared" si="127"/>
        <v>0</v>
      </c>
      <c r="K147" s="33">
        <f t="shared" si="127"/>
        <v>77052.84</v>
      </c>
      <c r="L147" s="33">
        <f t="shared" si="127"/>
        <v>0</v>
      </c>
      <c r="M147" s="33">
        <f t="shared" si="127"/>
        <v>1210501.56</v>
      </c>
      <c r="N147" s="33">
        <f t="shared" si="127"/>
        <v>452247.98</v>
      </c>
      <c r="O147" s="33">
        <f t="shared" si="127"/>
        <v>0</v>
      </c>
      <c r="P147" s="170">
        <f t="shared" si="127"/>
        <v>3632558.22</v>
      </c>
    </row>
    <row r="148" spans="1:16" hidden="1" outlineLevel="2">
      <c r="A148" s="22"/>
      <c r="B148" s="28">
        <v>7830</v>
      </c>
      <c r="C148" s="29" t="s">
        <v>207</v>
      </c>
      <c r="D148" s="30">
        <f t="shared" ref="D148:M148" si="128">N(0)</f>
        <v>0</v>
      </c>
      <c r="E148" s="30">
        <f t="shared" si="128"/>
        <v>0</v>
      </c>
      <c r="F148" s="30">
        <f t="shared" si="128"/>
        <v>0</v>
      </c>
      <c r="G148" s="30">
        <f t="shared" si="128"/>
        <v>0</v>
      </c>
      <c r="H148" s="30">
        <f t="shared" si="128"/>
        <v>0</v>
      </c>
      <c r="I148" s="30">
        <f t="shared" si="128"/>
        <v>0</v>
      </c>
      <c r="J148" s="30">
        <f t="shared" si="128"/>
        <v>0</v>
      </c>
      <c r="K148" s="30">
        <f t="shared" si="128"/>
        <v>0</v>
      </c>
      <c r="L148" s="30">
        <f t="shared" si="128"/>
        <v>0</v>
      </c>
      <c r="M148" s="30">
        <f t="shared" si="128"/>
        <v>0</v>
      </c>
      <c r="N148" s="30">
        <f>N(200)</f>
        <v>200</v>
      </c>
      <c r="O148" s="30">
        <f>N(0)</f>
        <v>0</v>
      </c>
      <c r="P148" s="169">
        <f>SUM(D148:O148)</f>
        <v>200</v>
      </c>
    </row>
    <row r="149" spans="1:16" outlineLevel="1" collapsed="1">
      <c r="A149" s="22"/>
      <c r="B149" s="35" t="str">
        <f>"    "&amp;"Tap o.l."</f>
        <v xml:space="preserve">    Tap o.l.</v>
      </c>
      <c r="C149" s="36"/>
      <c r="D149" s="33">
        <f t="shared" ref="D149:P149" si="129">SUM(D148)</f>
        <v>0</v>
      </c>
      <c r="E149" s="33">
        <f t="shared" si="129"/>
        <v>0</v>
      </c>
      <c r="F149" s="33">
        <f t="shared" si="129"/>
        <v>0</v>
      </c>
      <c r="G149" s="33">
        <f t="shared" si="129"/>
        <v>0</v>
      </c>
      <c r="H149" s="33">
        <f t="shared" si="129"/>
        <v>0</v>
      </c>
      <c r="I149" s="33">
        <f t="shared" si="129"/>
        <v>0</v>
      </c>
      <c r="J149" s="33">
        <f t="shared" si="129"/>
        <v>0</v>
      </c>
      <c r="K149" s="33">
        <f t="shared" si="129"/>
        <v>0</v>
      </c>
      <c r="L149" s="33">
        <f t="shared" si="129"/>
        <v>0</v>
      </c>
      <c r="M149" s="33">
        <f t="shared" si="129"/>
        <v>0</v>
      </c>
      <c r="N149" s="33">
        <f t="shared" si="129"/>
        <v>200</v>
      </c>
      <c r="O149" s="33">
        <f t="shared" si="129"/>
        <v>0</v>
      </c>
      <c r="P149" s="170">
        <f t="shared" si="129"/>
        <v>200</v>
      </c>
    </row>
    <row r="150" spans="1:16">
      <c r="A150" s="22"/>
      <c r="B150" s="41" t="s">
        <v>18</v>
      </c>
      <c r="C150" s="42"/>
      <c r="D150" s="44">
        <f ca="1">SUM(OSRRefD13_2x_0)</f>
        <v>9181457.9799999986</v>
      </c>
      <c r="E150" s="44">
        <f ca="1">SUM(OSRRefD13_2x_1)</f>
        <v>3317486.5000000005</v>
      </c>
      <c r="F150" s="44">
        <f ca="1">SUM(OSRRefD13_2x_2)</f>
        <v>187473.13999999998</v>
      </c>
      <c r="G150" s="44">
        <f ca="1">SUM(OSRRefD13_2x_3)</f>
        <v>5499560</v>
      </c>
      <c r="H150" s="44">
        <f ca="1">SUM(OSRRefD13_2x_4)</f>
        <v>1925484.36</v>
      </c>
      <c r="I150" s="44">
        <f ca="1">SUM(OSRRefD13_2x_5)</f>
        <v>991670.02</v>
      </c>
      <c r="J150" s="44">
        <f ca="1">SUM(OSRRefD13_2x_12)</f>
        <v>634815.56000000006</v>
      </c>
      <c r="K150" s="44">
        <f ca="1">SUM(OSRRefD13_2x_13)</f>
        <v>553162.13</v>
      </c>
      <c r="L150" s="44">
        <f ca="1">SUM(OSRRefD13_2x_14)</f>
        <v>0</v>
      </c>
      <c r="M150" s="44">
        <f ca="1">SUM(OSRRefD13_2x_15)</f>
        <v>2079290.79</v>
      </c>
      <c r="N150" s="44">
        <f ca="1">SUM(OSRRefD13_2x_16)</f>
        <v>1053095.3999999999</v>
      </c>
      <c r="O150" s="44">
        <f ca="1">SUM(OSRRefD13_2x_17)</f>
        <v>2495840.7999999998</v>
      </c>
      <c r="P150" s="171">
        <f ca="1">SUM(OSRRefE13_2x)</f>
        <v>27919336.679999996</v>
      </c>
    </row>
    <row r="151" spans="1:16">
      <c r="A151" s="22"/>
      <c r="B151" s="48" t="s">
        <v>349</v>
      </c>
      <c r="C151" s="172"/>
      <c r="D151" s="51">
        <f ca="1">SUM(OSRRefD14x_0)</f>
        <v>14945729.649999999</v>
      </c>
      <c r="E151" s="51">
        <f ca="1">SUM(OSRRefD14x_1)</f>
        <v>8464408.6600000001</v>
      </c>
      <c r="F151" s="51">
        <f ca="1">SUM(OSRRefD14x_2)</f>
        <v>396229.61</v>
      </c>
      <c r="G151" s="51">
        <f ca="1">SUM(OSRRefD14x_3)</f>
        <v>5499560</v>
      </c>
      <c r="H151" s="51">
        <f ca="1">SUM(OSRRefD14x_4)</f>
        <v>2444603.0499999998</v>
      </c>
      <c r="I151" s="51">
        <f ca="1">SUM(OSRRefD14x_5)</f>
        <v>992028.02</v>
      </c>
      <c r="J151" s="51">
        <f t="shared" ref="J151:O151" ca="1" si="130">SUM(J44,J80,J150)</f>
        <v>634815.56000000006</v>
      </c>
      <c r="K151" s="51">
        <f t="shared" ca="1" si="130"/>
        <v>3018531.77</v>
      </c>
      <c r="L151" s="51">
        <f t="shared" ca="1" si="130"/>
        <v>-114434</v>
      </c>
      <c r="M151" s="51">
        <f t="shared" ca="1" si="130"/>
        <v>3158414.06</v>
      </c>
      <c r="N151" s="51">
        <f t="shared" ca="1" si="130"/>
        <v>3075960.83</v>
      </c>
      <c r="O151" s="51">
        <f t="shared" ca="1" si="130"/>
        <v>2495969.7999999998</v>
      </c>
      <c r="P151" s="173">
        <f ca="1">SUM(OSRRefE14x)</f>
        <v>45011817.00999999</v>
      </c>
    </row>
    <row r="152" spans="1:16" ht="9.75" customHeight="1">
      <c r="B152" s="57"/>
      <c r="C152" s="24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174"/>
    </row>
    <row r="153" spans="1:16" ht="15.6">
      <c r="B153" s="64" t="s">
        <v>209</v>
      </c>
      <c r="C153" s="65"/>
      <c r="D153" s="67">
        <f t="shared" ref="D153:P153" ca="1" si="131">SUM(D38)-SUM(D151)</f>
        <v>74119.089999999851</v>
      </c>
      <c r="E153" s="67">
        <f t="shared" ca="1" si="131"/>
        <v>1348080.3399999999</v>
      </c>
      <c r="F153" s="67">
        <f t="shared" ca="1" si="131"/>
        <v>-372576.36</v>
      </c>
      <c r="G153" s="67">
        <f t="shared" ca="1" si="131"/>
        <v>-616761.40000000037</v>
      </c>
      <c r="H153" s="67">
        <f t="shared" ca="1" si="131"/>
        <v>-663843.44999999972</v>
      </c>
      <c r="I153" s="67">
        <f t="shared" ca="1" si="131"/>
        <v>168149.97999999998</v>
      </c>
      <c r="J153" s="67">
        <f t="shared" ca="1" si="131"/>
        <v>-0.84000000008381903</v>
      </c>
      <c r="K153" s="67">
        <f t="shared" ca="1" si="131"/>
        <v>-327971.77</v>
      </c>
      <c r="L153" s="67">
        <f t="shared" ca="1" si="131"/>
        <v>341153.4</v>
      </c>
      <c r="M153" s="67">
        <f t="shared" ca="1" si="131"/>
        <v>-271166.62000000011</v>
      </c>
      <c r="N153" s="67">
        <f t="shared" ca="1" si="131"/>
        <v>266229.16999999993</v>
      </c>
      <c r="O153" s="67">
        <f t="shared" ca="1" si="131"/>
        <v>-2054.3999999999069</v>
      </c>
      <c r="P153" s="175">
        <f t="shared" ca="1" si="131"/>
        <v>-56642.859999999404</v>
      </c>
    </row>
    <row r="154" spans="1:16">
      <c r="B154" s="27"/>
      <c r="C154" s="24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168"/>
    </row>
    <row r="155" spans="1:16" hidden="1" outlineLevel="2">
      <c r="A155" s="22"/>
      <c r="B155" s="28">
        <v>8050</v>
      </c>
      <c r="C155" s="29" t="s">
        <v>210</v>
      </c>
      <c r="D155" s="30">
        <f>-N(-66299.2)</f>
        <v>66299.199999999997</v>
      </c>
      <c r="E155" s="30">
        <f>-N(-1069295)</f>
        <v>1069295</v>
      </c>
      <c r="F155" s="30">
        <f t="shared" ref="F155:G157" si="132">-N(0)</f>
        <v>0</v>
      </c>
      <c r="G155" s="30">
        <f>-N(-329323.27)</f>
        <v>329323.27</v>
      </c>
      <c r="H155" s="30">
        <f t="shared" ref="H155:K157" si="133">-N(0)</f>
        <v>0</v>
      </c>
      <c r="I155" s="30">
        <f t="shared" si="133"/>
        <v>0</v>
      </c>
      <c r="J155" s="30">
        <f t="shared" si="133"/>
        <v>0</v>
      </c>
      <c r="K155" s="30">
        <f>-N(-5556.74)</f>
        <v>5556.74</v>
      </c>
      <c r="L155" s="30">
        <f t="shared" ref="L155:O157" si="134">-N(0)</f>
        <v>0</v>
      </c>
      <c r="M155" s="30">
        <f t="shared" si="134"/>
        <v>0</v>
      </c>
      <c r="N155" s="30">
        <f t="shared" si="134"/>
        <v>0</v>
      </c>
      <c r="O155" s="30">
        <f t="shared" si="134"/>
        <v>0</v>
      </c>
      <c r="P155" s="169">
        <f>SUM(D155:O155)</f>
        <v>1470474.21</v>
      </c>
    </row>
    <row r="156" spans="1:16" hidden="1" outlineLevel="2">
      <c r="A156" s="22"/>
      <c r="B156" s="28">
        <v>8060</v>
      </c>
      <c r="C156" s="29" t="s">
        <v>211</v>
      </c>
      <c r="D156" s="30">
        <f>-N(-44494)</f>
        <v>44494</v>
      </c>
      <c r="E156" s="30">
        <f>-N(-8736.26)</f>
        <v>8736.26</v>
      </c>
      <c r="F156" s="30">
        <f t="shared" si="132"/>
        <v>0</v>
      </c>
      <c r="G156" s="30">
        <f t="shared" si="132"/>
        <v>0</v>
      </c>
      <c r="H156" s="30">
        <f t="shared" si="133"/>
        <v>0</v>
      </c>
      <c r="I156" s="30">
        <f t="shared" si="133"/>
        <v>0</v>
      </c>
      <c r="J156" s="30">
        <f t="shared" si="133"/>
        <v>0</v>
      </c>
      <c r="K156" s="30">
        <f t="shared" si="133"/>
        <v>0</v>
      </c>
      <c r="L156" s="30">
        <f t="shared" si="134"/>
        <v>0</v>
      </c>
      <c r="M156" s="30">
        <f t="shared" si="134"/>
        <v>0</v>
      </c>
      <c r="N156" s="30">
        <f t="shared" si="134"/>
        <v>0</v>
      </c>
      <c r="O156" s="30">
        <f t="shared" si="134"/>
        <v>0</v>
      </c>
      <c r="P156" s="169">
        <f>SUM(D156:O156)</f>
        <v>53230.26</v>
      </c>
    </row>
    <row r="157" spans="1:16" hidden="1" outlineLevel="2">
      <c r="A157" s="22"/>
      <c r="B157" s="28">
        <v>8071</v>
      </c>
      <c r="C157" s="29" t="s">
        <v>212</v>
      </c>
      <c r="D157" s="30">
        <f>-N(0)</f>
        <v>0</v>
      </c>
      <c r="E157" s="30">
        <f>-N(-279733)</f>
        <v>279733</v>
      </c>
      <c r="F157" s="30">
        <f t="shared" si="132"/>
        <v>0</v>
      </c>
      <c r="G157" s="30">
        <f t="shared" si="132"/>
        <v>0</v>
      </c>
      <c r="H157" s="30">
        <f t="shared" si="133"/>
        <v>0</v>
      </c>
      <c r="I157" s="30">
        <f t="shared" si="133"/>
        <v>0</v>
      </c>
      <c r="J157" s="30">
        <f t="shared" si="133"/>
        <v>0</v>
      </c>
      <c r="K157" s="30">
        <f t="shared" si="133"/>
        <v>0</v>
      </c>
      <c r="L157" s="30">
        <f t="shared" si="134"/>
        <v>0</v>
      </c>
      <c r="M157" s="30">
        <f t="shared" si="134"/>
        <v>0</v>
      </c>
      <c r="N157" s="30">
        <f t="shared" si="134"/>
        <v>0</v>
      </c>
      <c r="O157" s="30">
        <f t="shared" si="134"/>
        <v>0</v>
      </c>
      <c r="P157" s="169">
        <f>SUM(D157:O157)</f>
        <v>279733</v>
      </c>
    </row>
    <row r="158" spans="1:16" outlineLevel="1" collapsed="1">
      <c r="A158" s="22"/>
      <c r="B158" s="35" t="str">
        <f>"    "&amp;"Finansinntekt"</f>
        <v xml:space="preserve">    Finansinntekt</v>
      </c>
      <c r="C158" s="36"/>
      <c r="D158" s="33">
        <f t="shared" ref="D158:P158" si="135">SUM(D155:D157)</f>
        <v>110793.2</v>
      </c>
      <c r="E158" s="33">
        <f t="shared" si="135"/>
        <v>1357764.26</v>
      </c>
      <c r="F158" s="33">
        <f t="shared" si="135"/>
        <v>0</v>
      </c>
      <c r="G158" s="33">
        <f t="shared" si="135"/>
        <v>329323.27</v>
      </c>
      <c r="H158" s="33">
        <f t="shared" si="135"/>
        <v>0</v>
      </c>
      <c r="I158" s="33">
        <f t="shared" si="135"/>
        <v>0</v>
      </c>
      <c r="J158" s="33">
        <f t="shared" si="135"/>
        <v>0</v>
      </c>
      <c r="K158" s="33">
        <f t="shared" si="135"/>
        <v>5556.74</v>
      </c>
      <c r="L158" s="33">
        <f t="shared" si="135"/>
        <v>0</v>
      </c>
      <c r="M158" s="33">
        <f t="shared" si="135"/>
        <v>0</v>
      </c>
      <c r="N158" s="33">
        <f t="shared" si="135"/>
        <v>0</v>
      </c>
      <c r="O158" s="33">
        <f t="shared" si="135"/>
        <v>0</v>
      </c>
      <c r="P158" s="170">
        <f t="shared" si="135"/>
        <v>1803437.47</v>
      </c>
    </row>
    <row r="159" spans="1:16">
      <c r="A159" s="22"/>
      <c r="B159" s="41" t="s">
        <v>216</v>
      </c>
      <c r="C159" s="42"/>
      <c r="D159" s="44">
        <f t="shared" ref="D159:P159" si="136">SUM(D158)</f>
        <v>110793.2</v>
      </c>
      <c r="E159" s="44">
        <f t="shared" si="136"/>
        <v>1357764.26</v>
      </c>
      <c r="F159" s="44">
        <f t="shared" si="136"/>
        <v>0</v>
      </c>
      <c r="G159" s="44">
        <f t="shared" si="136"/>
        <v>329323.27</v>
      </c>
      <c r="H159" s="44">
        <f t="shared" si="136"/>
        <v>0</v>
      </c>
      <c r="I159" s="44">
        <f t="shared" si="136"/>
        <v>0</v>
      </c>
      <c r="J159" s="44">
        <f t="shared" si="136"/>
        <v>0</v>
      </c>
      <c r="K159" s="44">
        <f t="shared" si="136"/>
        <v>5556.74</v>
      </c>
      <c r="L159" s="44">
        <f t="shared" si="136"/>
        <v>0</v>
      </c>
      <c r="M159" s="44">
        <f t="shared" si="136"/>
        <v>0</v>
      </c>
      <c r="N159" s="44">
        <f t="shared" si="136"/>
        <v>0</v>
      </c>
      <c r="O159" s="44">
        <f t="shared" si="136"/>
        <v>0</v>
      </c>
      <c r="P159" s="171">
        <f t="shared" si="136"/>
        <v>1803437.47</v>
      </c>
    </row>
    <row r="160" spans="1:16" hidden="1" outlineLevel="2">
      <c r="A160" s="22"/>
      <c r="B160" s="28">
        <v>8100</v>
      </c>
      <c r="C160" s="29" t="s">
        <v>218</v>
      </c>
      <c r="D160" s="30">
        <f>N(147784.95)</f>
        <v>147784.95000000001</v>
      </c>
      <c r="E160" s="30">
        <f>N(1211278.63)</f>
        <v>1211278.6299999999</v>
      </c>
      <c r="F160" s="30">
        <f t="shared" ref="F160:G163" si="137">N(0)</f>
        <v>0</v>
      </c>
      <c r="G160" s="30">
        <f>N(738566.29)</f>
        <v>738566.29</v>
      </c>
      <c r="H160" s="30">
        <f t="shared" ref="H160:K163" si="138">N(0)</f>
        <v>0</v>
      </c>
      <c r="I160" s="30">
        <f t="shared" si="138"/>
        <v>0</v>
      </c>
      <c r="J160" s="30">
        <f t="shared" si="138"/>
        <v>0</v>
      </c>
      <c r="K160" s="30">
        <f>N(12461.97)</f>
        <v>12461.97</v>
      </c>
      <c r="L160" s="30">
        <f t="shared" ref="L160:O163" si="139">N(0)</f>
        <v>0</v>
      </c>
      <c r="M160" s="30">
        <f t="shared" si="139"/>
        <v>0</v>
      </c>
      <c r="N160" s="30">
        <f t="shared" si="139"/>
        <v>0</v>
      </c>
      <c r="O160" s="30">
        <f t="shared" si="139"/>
        <v>0</v>
      </c>
      <c r="P160" s="169">
        <f>SUM(D160:O160)</f>
        <v>2110091.8400000003</v>
      </c>
    </row>
    <row r="161" spans="1:16" hidden="1" outlineLevel="2">
      <c r="A161" s="22"/>
      <c r="B161" s="28">
        <v>8150</v>
      </c>
      <c r="C161" s="29" t="s">
        <v>221</v>
      </c>
      <c r="D161" s="30">
        <f t="shared" ref="D161:D163" si="140">N(0)</f>
        <v>0</v>
      </c>
      <c r="E161" s="30">
        <f>N(655.57)</f>
        <v>655.57</v>
      </c>
      <c r="F161" s="30">
        <f t="shared" si="137"/>
        <v>0</v>
      </c>
      <c r="G161" s="30">
        <f t="shared" si="137"/>
        <v>0</v>
      </c>
      <c r="H161" s="30">
        <f t="shared" si="138"/>
        <v>0</v>
      </c>
      <c r="I161" s="30">
        <f t="shared" si="138"/>
        <v>0</v>
      </c>
      <c r="J161" s="30">
        <f t="shared" si="138"/>
        <v>0</v>
      </c>
      <c r="K161" s="30">
        <f t="shared" si="138"/>
        <v>0</v>
      </c>
      <c r="L161" s="30">
        <f t="shared" si="139"/>
        <v>0</v>
      </c>
      <c r="M161" s="30">
        <f t="shared" si="139"/>
        <v>0</v>
      </c>
      <c r="N161" s="30">
        <f t="shared" si="139"/>
        <v>0</v>
      </c>
      <c r="O161" s="30">
        <f t="shared" si="139"/>
        <v>0</v>
      </c>
      <c r="P161" s="169">
        <f>SUM(D161:O161)</f>
        <v>655.57</v>
      </c>
    </row>
    <row r="162" spans="1:16" hidden="1" outlineLevel="2">
      <c r="A162" s="22"/>
      <c r="B162" s="28">
        <v>8155</v>
      </c>
      <c r="C162" s="29" t="s">
        <v>222</v>
      </c>
      <c r="D162" s="30">
        <f t="shared" si="140"/>
        <v>0</v>
      </c>
      <c r="E162" s="30">
        <f>N(0)</f>
        <v>0</v>
      </c>
      <c r="F162" s="30">
        <f t="shared" si="137"/>
        <v>0</v>
      </c>
      <c r="G162" s="30">
        <f t="shared" si="137"/>
        <v>0</v>
      </c>
      <c r="H162" s="30">
        <f t="shared" si="138"/>
        <v>0</v>
      </c>
      <c r="I162" s="30">
        <f t="shared" si="138"/>
        <v>0</v>
      </c>
      <c r="J162" s="30">
        <f t="shared" si="138"/>
        <v>0</v>
      </c>
      <c r="K162" s="30">
        <f t="shared" si="138"/>
        <v>0</v>
      </c>
      <c r="L162" s="30">
        <f t="shared" si="139"/>
        <v>0</v>
      </c>
      <c r="M162" s="30">
        <f>N(34.13)</f>
        <v>34.130000000000003</v>
      </c>
      <c r="N162" s="30">
        <f t="shared" si="139"/>
        <v>0</v>
      </c>
      <c r="O162" s="30">
        <f t="shared" si="139"/>
        <v>0</v>
      </c>
      <c r="P162" s="169">
        <f>SUM(D162:O162)</f>
        <v>34.130000000000003</v>
      </c>
    </row>
    <row r="163" spans="1:16" hidden="1" outlineLevel="2">
      <c r="A163" s="22"/>
      <c r="B163" s="28">
        <v>8160</v>
      </c>
      <c r="C163" s="29" t="s">
        <v>223</v>
      </c>
      <c r="D163" s="30">
        <f t="shared" si="140"/>
        <v>0</v>
      </c>
      <c r="E163" s="30">
        <f>N(29565.82)</f>
        <v>29565.82</v>
      </c>
      <c r="F163" s="30">
        <f t="shared" si="137"/>
        <v>0</v>
      </c>
      <c r="G163" s="30">
        <f t="shared" si="137"/>
        <v>0</v>
      </c>
      <c r="H163" s="30">
        <f t="shared" si="138"/>
        <v>0</v>
      </c>
      <c r="I163" s="30">
        <f t="shared" si="138"/>
        <v>0</v>
      </c>
      <c r="J163" s="30">
        <f t="shared" si="138"/>
        <v>0</v>
      </c>
      <c r="K163" s="30">
        <f t="shared" si="138"/>
        <v>0</v>
      </c>
      <c r="L163" s="30">
        <f t="shared" si="139"/>
        <v>0</v>
      </c>
      <c r="M163" s="30">
        <f>N(0)</f>
        <v>0</v>
      </c>
      <c r="N163" s="30">
        <f t="shared" si="139"/>
        <v>0</v>
      </c>
      <c r="O163" s="30">
        <f t="shared" si="139"/>
        <v>0</v>
      </c>
      <c r="P163" s="169">
        <f>SUM(D163:O163)</f>
        <v>29565.82</v>
      </c>
    </row>
    <row r="164" spans="1:16" outlineLevel="1" collapsed="1">
      <c r="A164" s="22"/>
      <c r="B164" s="35" t="str">
        <f>"    "&amp;"Finanskostnad"</f>
        <v xml:space="preserve">    Finanskostnad</v>
      </c>
      <c r="C164" s="36"/>
      <c r="D164" s="33">
        <f t="shared" ref="D164:P164" si="141">SUM(D160:D163)</f>
        <v>147784.95000000001</v>
      </c>
      <c r="E164" s="33">
        <f t="shared" si="141"/>
        <v>1241500.02</v>
      </c>
      <c r="F164" s="33">
        <f t="shared" si="141"/>
        <v>0</v>
      </c>
      <c r="G164" s="33">
        <f t="shared" si="141"/>
        <v>738566.29</v>
      </c>
      <c r="H164" s="33">
        <f t="shared" si="141"/>
        <v>0</v>
      </c>
      <c r="I164" s="33">
        <f t="shared" si="141"/>
        <v>0</v>
      </c>
      <c r="J164" s="33">
        <f t="shared" si="141"/>
        <v>0</v>
      </c>
      <c r="K164" s="33">
        <f t="shared" si="141"/>
        <v>12461.97</v>
      </c>
      <c r="L164" s="33">
        <f t="shared" si="141"/>
        <v>0</v>
      </c>
      <c r="M164" s="33">
        <f t="shared" si="141"/>
        <v>34.130000000000003</v>
      </c>
      <c r="N164" s="33">
        <f t="shared" si="141"/>
        <v>0</v>
      </c>
      <c r="O164" s="33">
        <f t="shared" si="141"/>
        <v>0</v>
      </c>
      <c r="P164" s="170">
        <f t="shared" si="141"/>
        <v>2140347.36</v>
      </c>
    </row>
    <row r="165" spans="1:16">
      <c r="A165" s="22"/>
      <c r="B165" s="41" t="s">
        <v>225</v>
      </c>
      <c r="C165" s="42"/>
      <c r="D165" s="44">
        <f t="shared" ref="D165:P165" si="142">SUM(D164)</f>
        <v>147784.95000000001</v>
      </c>
      <c r="E165" s="44">
        <f t="shared" si="142"/>
        <v>1241500.02</v>
      </c>
      <c r="F165" s="44">
        <f t="shared" si="142"/>
        <v>0</v>
      </c>
      <c r="G165" s="44">
        <f t="shared" si="142"/>
        <v>738566.29</v>
      </c>
      <c r="H165" s="44">
        <f t="shared" si="142"/>
        <v>0</v>
      </c>
      <c r="I165" s="44">
        <f t="shared" si="142"/>
        <v>0</v>
      </c>
      <c r="J165" s="44">
        <f t="shared" si="142"/>
        <v>0</v>
      </c>
      <c r="K165" s="44">
        <f t="shared" si="142"/>
        <v>12461.97</v>
      </c>
      <c r="L165" s="44">
        <f t="shared" si="142"/>
        <v>0</v>
      </c>
      <c r="M165" s="44">
        <f t="shared" si="142"/>
        <v>34.130000000000003</v>
      </c>
      <c r="N165" s="44">
        <f t="shared" si="142"/>
        <v>0</v>
      </c>
      <c r="O165" s="44">
        <f t="shared" si="142"/>
        <v>0</v>
      </c>
      <c r="P165" s="171">
        <f t="shared" si="142"/>
        <v>2140347.36</v>
      </c>
    </row>
    <row r="166" spans="1:16">
      <c r="A166" s="22"/>
      <c r="B166" s="48" t="s">
        <v>226</v>
      </c>
      <c r="C166" s="172"/>
      <c r="D166" s="51">
        <f t="shared" ref="D166:P166" si="143">SUM(D159)-SUM(D165)</f>
        <v>-36991.750000000015</v>
      </c>
      <c r="E166" s="51">
        <f t="shared" si="143"/>
        <v>116264.23999999999</v>
      </c>
      <c r="F166" s="51">
        <f t="shared" si="143"/>
        <v>0</v>
      </c>
      <c r="G166" s="51">
        <f t="shared" si="143"/>
        <v>-409243.02</v>
      </c>
      <c r="H166" s="51">
        <f t="shared" si="143"/>
        <v>0</v>
      </c>
      <c r="I166" s="51">
        <f t="shared" si="143"/>
        <v>0</v>
      </c>
      <c r="J166" s="51">
        <f t="shared" si="143"/>
        <v>0</v>
      </c>
      <c r="K166" s="51">
        <f t="shared" si="143"/>
        <v>-6905.23</v>
      </c>
      <c r="L166" s="51">
        <f t="shared" si="143"/>
        <v>0</v>
      </c>
      <c r="M166" s="51">
        <f t="shared" si="143"/>
        <v>-34.130000000000003</v>
      </c>
      <c r="N166" s="51">
        <f t="shared" si="143"/>
        <v>0</v>
      </c>
      <c r="O166" s="51">
        <f t="shared" si="143"/>
        <v>0</v>
      </c>
      <c r="P166" s="173">
        <f t="shared" si="143"/>
        <v>-336909.8899999999</v>
      </c>
    </row>
    <row r="167" spans="1:16">
      <c r="A167" s="22"/>
      <c r="B167" s="27"/>
      <c r="C167" s="24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176"/>
    </row>
    <row r="168" spans="1:16" ht="15.6">
      <c r="B168" s="77" t="s">
        <v>227</v>
      </c>
      <c r="C168" s="78"/>
      <c r="D168" s="80">
        <f t="shared" ref="D168:P168" ca="1" si="144">IFERROR(SUM(D153)+SUM(D166),0)</f>
        <v>37127.339999999836</v>
      </c>
      <c r="E168" s="80">
        <f t="shared" ca="1" si="144"/>
        <v>1464344.5799999998</v>
      </c>
      <c r="F168" s="80">
        <f t="shared" ca="1" si="144"/>
        <v>-372576.36</v>
      </c>
      <c r="G168" s="80">
        <f t="shared" ca="1" si="144"/>
        <v>-1026004.4200000004</v>
      </c>
      <c r="H168" s="80">
        <f t="shared" ca="1" si="144"/>
        <v>-663843.44999999972</v>
      </c>
      <c r="I168" s="80">
        <f t="shared" ca="1" si="144"/>
        <v>168149.97999999998</v>
      </c>
      <c r="J168" s="80">
        <f t="shared" ca="1" si="144"/>
        <v>-0.84000000008381903</v>
      </c>
      <c r="K168" s="80">
        <f t="shared" ca="1" si="144"/>
        <v>-334877</v>
      </c>
      <c r="L168" s="80">
        <f t="shared" ca="1" si="144"/>
        <v>341153.4</v>
      </c>
      <c r="M168" s="80">
        <f t="shared" ca="1" si="144"/>
        <v>-271200.75000000012</v>
      </c>
      <c r="N168" s="80">
        <f t="shared" ca="1" si="144"/>
        <v>266229.16999999993</v>
      </c>
      <c r="O168" s="80">
        <f t="shared" ca="1" si="144"/>
        <v>-2054.3999999999069</v>
      </c>
      <c r="P168" s="177">
        <f t="shared" ca="1" si="144"/>
        <v>-393552.7499999993</v>
      </c>
    </row>
    <row r="169" spans="1:16" ht="15.6">
      <c r="B169" s="178"/>
      <c r="C169" s="179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</row>
    <row r="170" spans="1:16" hidden="1" outlineLevel="2">
      <c r="A170" s="22"/>
      <c r="B170" s="28">
        <v>8914</v>
      </c>
      <c r="C170" s="29" t="s">
        <v>228</v>
      </c>
      <c r="D170" s="30">
        <f>N(72681.75)</f>
        <v>72681.75</v>
      </c>
      <c r="E170" s="30">
        <f t="shared" ref="E170:G173" si="145">N(0)</f>
        <v>0</v>
      </c>
      <c r="F170" s="30">
        <f t="shared" si="145"/>
        <v>0</v>
      </c>
      <c r="G170" s="30">
        <f>N(-1026004.42)</f>
        <v>-1026004.42</v>
      </c>
      <c r="H170" s="30">
        <f t="shared" ref="H170:K173" si="146">N(0)</f>
        <v>0</v>
      </c>
      <c r="I170" s="30">
        <f t="shared" si="146"/>
        <v>0</v>
      </c>
      <c r="J170" s="30">
        <f t="shared" si="146"/>
        <v>0</v>
      </c>
      <c r="K170" s="30">
        <f>N(-334877)</f>
        <v>-334877</v>
      </c>
      <c r="L170" s="30">
        <f t="shared" ref="L170:O173" si="147">N(0)</f>
        <v>0</v>
      </c>
      <c r="M170" s="30">
        <f t="shared" si="147"/>
        <v>0</v>
      </c>
      <c r="N170" s="30">
        <f t="shared" si="147"/>
        <v>0</v>
      </c>
      <c r="O170" s="30">
        <f t="shared" si="147"/>
        <v>0</v>
      </c>
      <c r="P170" s="169">
        <f>SUM(D170:O170)</f>
        <v>-1288199.67</v>
      </c>
    </row>
    <row r="171" spans="1:16" hidden="1" outlineLevel="2">
      <c r="A171" s="22"/>
      <c r="B171" s="28">
        <v>8920</v>
      </c>
      <c r="C171" s="29" t="s">
        <v>229</v>
      </c>
      <c r="D171" s="30">
        <f>N(0)</f>
        <v>0</v>
      </c>
      <c r="E171" s="30">
        <f>N(-245907.64)</f>
        <v>-245907.64</v>
      </c>
      <c r="F171" s="30">
        <f t="shared" si="145"/>
        <v>0</v>
      </c>
      <c r="G171" s="30">
        <f t="shared" si="145"/>
        <v>0</v>
      </c>
      <c r="H171" s="30">
        <f t="shared" si="146"/>
        <v>0</v>
      </c>
      <c r="I171" s="30">
        <f t="shared" si="146"/>
        <v>0</v>
      </c>
      <c r="J171" s="30">
        <f t="shared" si="146"/>
        <v>0</v>
      </c>
      <c r="K171" s="30">
        <f t="shared" si="146"/>
        <v>0</v>
      </c>
      <c r="L171" s="30">
        <f t="shared" si="147"/>
        <v>0</v>
      </c>
      <c r="M171" s="30">
        <f t="shared" si="147"/>
        <v>0</v>
      </c>
      <c r="N171" s="30">
        <f t="shared" si="147"/>
        <v>0</v>
      </c>
      <c r="O171" s="30">
        <f t="shared" si="147"/>
        <v>0</v>
      </c>
      <c r="P171" s="169">
        <f>SUM(D171:O171)</f>
        <v>-245907.64</v>
      </c>
    </row>
    <row r="172" spans="1:16" hidden="1" outlineLevel="2">
      <c r="A172" s="22"/>
      <c r="B172" s="28">
        <v>8930</v>
      </c>
      <c r="C172" s="29" t="s">
        <v>230</v>
      </c>
      <c r="D172" s="30">
        <f>N(-35554.41)</f>
        <v>-35554.410000000003</v>
      </c>
      <c r="E172" s="30">
        <f>N(0)</f>
        <v>0</v>
      </c>
      <c r="F172" s="30">
        <f t="shared" si="145"/>
        <v>0</v>
      </c>
      <c r="G172" s="30">
        <f t="shared" si="145"/>
        <v>0</v>
      </c>
      <c r="H172" s="30">
        <f t="shared" si="146"/>
        <v>0</v>
      </c>
      <c r="I172" s="30">
        <f t="shared" si="146"/>
        <v>0</v>
      </c>
      <c r="J172" s="30">
        <f t="shared" si="146"/>
        <v>0</v>
      </c>
      <c r="K172" s="30">
        <f t="shared" si="146"/>
        <v>0</v>
      </c>
      <c r="L172" s="30">
        <f t="shared" si="147"/>
        <v>0</v>
      </c>
      <c r="M172" s="30">
        <f t="shared" si="147"/>
        <v>0</v>
      </c>
      <c r="N172" s="30">
        <f t="shared" si="147"/>
        <v>0</v>
      </c>
      <c r="O172" s="30">
        <f t="shared" si="147"/>
        <v>0</v>
      </c>
      <c r="P172" s="169">
        <f>SUM(D172:O172)</f>
        <v>-35554.410000000003</v>
      </c>
    </row>
    <row r="173" spans="1:16" hidden="1" outlineLevel="2">
      <c r="A173" s="22"/>
      <c r="B173" s="28">
        <v>8960</v>
      </c>
      <c r="C173" s="29" t="s">
        <v>232</v>
      </c>
      <c r="D173" s="30">
        <f>N(0)</f>
        <v>0</v>
      </c>
      <c r="E173" s="30">
        <f>N(1313311.72)</f>
        <v>1313311.72</v>
      </c>
      <c r="F173" s="30">
        <f t="shared" si="145"/>
        <v>0</v>
      </c>
      <c r="G173" s="30">
        <f t="shared" si="145"/>
        <v>0</v>
      </c>
      <c r="H173" s="30">
        <f t="shared" si="146"/>
        <v>0</v>
      </c>
      <c r="I173" s="30">
        <f t="shared" si="146"/>
        <v>0</v>
      </c>
      <c r="J173" s="30">
        <f t="shared" si="146"/>
        <v>0</v>
      </c>
      <c r="K173" s="30">
        <f t="shared" si="146"/>
        <v>0</v>
      </c>
      <c r="L173" s="30">
        <f t="shared" si="147"/>
        <v>0</v>
      </c>
      <c r="M173" s="30">
        <f t="shared" si="147"/>
        <v>0</v>
      </c>
      <c r="N173" s="30">
        <f t="shared" si="147"/>
        <v>0</v>
      </c>
      <c r="O173" s="30">
        <f t="shared" si="147"/>
        <v>0</v>
      </c>
      <c r="P173" s="169">
        <f>SUM(D173:O173)</f>
        <v>1313311.72</v>
      </c>
    </row>
    <row r="174" spans="1:16" outlineLevel="1" collapsed="1">
      <c r="A174" s="22"/>
      <c r="B174" s="35" t="str">
        <f>"    "&amp;"Overføringer og disponeringer"</f>
        <v xml:space="preserve">    Overføringer og disponeringer</v>
      </c>
      <c r="C174" s="36"/>
      <c r="D174" s="33">
        <f t="shared" ref="D174:P174" si="148">SUM(D170:D173)</f>
        <v>37127.339999999997</v>
      </c>
      <c r="E174" s="33">
        <f t="shared" si="148"/>
        <v>1067404.08</v>
      </c>
      <c r="F174" s="33">
        <f t="shared" si="148"/>
        <v>0</v>
      </c>
      <c r="G174" s="33">
        <f t="shared" si="148"/>
        <v>-1026004.42</v>
      </c>
      <c r="H174" s="33">
        <f t="shared" si="148"/>
        <v>0</v>
      </c>
      <c r="I174" s="33">
        <f t="shared" si="148"/>
        <v>0</v>
      </c>
      <c r="J174" s="33">
        <f t="shared" si="148"/>
        <v>0</v>
      </c>
      <c r="K174" s="33">
        <f t="shared" si="148"/>
        <v>-334877</v>
      </c>
      <c r="L174" s="33">
        <f t="shared" si="148"/>
        <v>0</v>
      </c>
      <c r="M174" s="33">
        <f t="shared" si="148"/>
        <v>0</v>
      </c>
      <c r="N174" s="33">
        <f t="shared" si="148"/>
        <v>0</v>
      </c>
      <c r="O174" s="33">
        <f t="shared" si="148"/>
        <v>0</v>
      </c>
      <c r="P174" s="170">
        <f t="shared" si="148"/>
        <v>-256350</v>
      </c>
    </row>
    <row r="175" spans="1:16">
      <c r="A175" s="22"/>
      <c r="B175" s="89" t="s">
        <v>233</v>
      </c>
      <c r="C175" s="90"/>
      <c r="D175" s="92">
        <f t="shared" ref="D175:P175" si="149">SUM(D174)</f>
        <v>37127.339999999997</v>
      </c>
      <c r="E175" s="92">
        <f t="shared" si="149"/>
        <v>1067404.08</v>
      </c>
      <c r="F175" s="92">
        <f t="shared" si="149"/>
        <v>0</v>
      </c>
      <c r="G175" s="92">
        <f t="shared" si="149"/>
        <v>-1026004.42</v>
      </c>
      <c r="H175" s="92">
        <f t="shared" si="149"/>
        <v>0</v>
      </c>
      <c r="I175" s="92">
        <f t="shared" si="149"/>
        <v>0</v>
      </c>
      <c r="J175" s="92">
        <f t="shared" si="149"/>
        <v>0</v>
      </c>
      <c r="K175" s="92">
        <f t="shared" si="149"/>
        <v>-334877</v>
      </c>
      <c r="L175" s="92">
        <f t="shared" si="149"/>
        <v>0</v>
      </c>
      <c r="M175" s="92">
        <f t="shared" si="149"/>
        <v>0</v>
      </c>
      <c r="N175" s="92">
        <f t="shared" si="149"/>
        <v>0</v>
      </c>
      <c r="O175" s="92">
        <f t="shared" si="149"/>
        <v>0</v>
      </c>
      <c r="P175" s="181">
        <f t="shared" si="149"/>
        <v>-256350</v>
      </c>
    </row>
    <row r="177" spans="2:3">
      <c r="C177" s="97"/>
    </row>
    <row r="179" spans="2:3">
      <c r="B179" s="6"/>
      <c r="C179" s="6"/>
    </row>
  </sheetData>
  <pageMargins left="0.25" right="0.25" top="0.75" bottom="0.75" header="0.3" footer="0.3"/>
  <pageSetup paperSize="9" fitToHeight="0" orientation="landscape"/>
  <headerFooter>
    <oddFooter>&amp;R
Side &amp;P av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5F3B1-FA6F-4108-AED6-1FB190C6D32E}">
  <sheetPr>
    <pageSetUpPr fitToPage="1"/>
  </sheetPr>
  <dimension ref="A1:P194"/>
  <sheetViews>
    <sheetView showGridLines="0" topLeftCell="F1" workbookViewId="0">
      <pane ySplit="5" topLeftCell="A149" activePane="bottomLeft" state="frozen"/>
      <selection pane="bottomLeft" activeCell="D182" sqref="D182:P182"/>
    </sheetView>
  </sheetViews>
  <sheetFormatPr defaultColWidth="11.42578125" defaultRowHeight="14.45" outlineLevelRow="2" outlineLevelCol="1"/>
  <cols>
    <col min="1" max="1" width="1.7109375" customWidth="1"/>
    <col min="2" max="2" width="16.140625" customWidth="1"/>
    <col min="3" max="3" width="18.85546875" customWidth="1"/>
    <col min="4" max="15" width="15.7109375" customWidth="1" outlineLevel="1"/>
    <col min="16" max="16" width="15.7109375" customWidth="1"/>
  </cols>
  <sheetData>
    <row r="1" spans="1:16" ht="9.9499999999999993" customHeigh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6" t="s">
        <v>314</v>
      </c>
    </row>
    <row r="2" spans="1:16" ht="18">
      <c r="A2" s="7"/>
      <c r="B2" s="8" t="s">
        <v>347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9">
        <v>45371.535914351851</v>
      </c>
    </row>
    <row r="3" spans="1:16" ht="15.6">
      <c r="B3" s="101" t="s">
        <v>316</v>
      </c>
    </row>
    <row r="4" spans="1:16" ht="11.25" customHeight="1"/>
    <row r="5" spans="1:16" ht="28.9">
      <c r="B5" s="103" t="str">
        <f>"Periode: "&amp;LEFT("202312",4)&amp;"01 - "&amp;"202312"</f>
        <v>Periode: 202301 - 202312</v>
      </c>
      <c r="C5" s="167"/>
      <c r="D5" s="163" t="str">
        <f>1&amp;" "&amp;"Internasjonal"</f>
        <v>1 Internasjonal</v>
      </c>
      <c r="E5" s="163" t="str">
        <f>2&amp;" "&amp;"Drift"</f>
        <v>2 Drift</v>
      </c>
      <c r="F5" s="163" t="str">
        <f>3&amp;" "&amp;"Magasin"</f>
        <v>3 Magasin</v>
      </c>
      <c r="G5" s="163" t="str">
        <f>4&amp;" "&amp;"Utviklingsfond"</f>
        <v>4 Utviklingsfond</v>
      </c>
      <c r="H5" s="163" t="str">
        <f>5&amp;" "&amp;"Videre"</f>
        <v>5 Videre</v>
      </c>
      <c r="I5" s="163" t="str">
        <f>6&amp;" "&amp;"Menighet"</f>
        <v>6 Menighet</v>
      </c>
      <c r="J5" s="163" t="str">
        <f>14&amp;" "&amp;"Skoledrift"</f>
        <v>14 Skoledrift</v>
      </c>
      <c r="K5" s="163" t="str">
        <f>15&amp;" "&amp;"Tilsyn"</f>
        <v>15 Tilsyn</v>
      </c>
      <c r="L5" s="163" t="str">
        <f>16&amp;" "&amp;"Pensjonskassen"</f>
        <v>16 Pensjonskassen</v>
      </c>
      <c r="M5" s="163" t="str">
        <f>17&amp;" "&amp;"Synodal"</f>
        <v>17 Synodal</v>
      </c>
      <c r="N5" s="163" t="str">
        <f>18&amp;" "&amp;"Nasjonal"</f>
        <v>18 Nasjonal</v>
      </c>
      <c r="O5" s="163" t="str">
        <f>19&amp;" "&amp;"Barn og Unge"</f>
        <v>19 Barn og Unge</v>
      </c>
      <c r="P5" s="164" t="s">
        <v>25</v>
      </c>
    </row>
    <row r="6" spans="1:16" ht="9" customHeight="1">
      <c r="A6" s="22"/>
      <c r="B6" s="23"/>
      <c r="C6" s="24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168"/>
    </row>
    <row r="7" spans="1:16" hidden="1" outlineLevel="2">
      <c r="A7" s="22"/>
      <c r="B7" s="28">
        <v>3100</v>
      </c>
      <c r="C7" s="29" t="s">
        <v>54</v>
      </c>
      <c r="D7" s="30">
        <f>-N(299)</f>
        <v>-299</v>
      </c>
      <c r="E7" s="30">
        <f>-N(0)</f>
        <v>0</v>
      </c>
      <c r="F7" s="30">
        <f>-N(-96428.75)</f>
        <v>96428.75</v>
      </c>
      <c r="G7" s="30">
        <f t="shared" ref="G7:M8" si="0">-N(0)</f>
        <v>0</v>
      </c>
      <c r="H7" s="30">
        <f t="shared" si="0"/>
        <v>0</v>
      </c>
      <c r="I7" s="30">
        <f t="shared" si="0"/>
        <v>0</v>
      </c>
      <c r="J7" s="30">
        <f t="shared" si="0"/>
        <v>0</v>
      </c>
      <c r="K7" s="30">
        <f t="shared" si="0"/>
        <v>0</v>
      </c>
      <c r="L7" s="30">
        <f t="shared" si="0"/>
        <v>0</v>
      </c>
      <c r="M7" s="30">
        <f t="shared" si="0"/>
        <v>0</v>
      </c>
      <c r="N7" s="30">
        <f>-N(349)</f>
        <v>-349</v>
      </c>
      <c r="O7" s="30">
        <f t="shared" ref="O7:O8" si="1">-N(0)</f>
        <v>0</v>
      </c>
      <c r="P7" s="169">
        <f>SUM(D7:O7)</f>
        <v>95780.75</v>
      </c>
    </row>
    <row r="8" spans="1:16" hidden="1" outlineLevel="2">
      <c r="A8" s="22"/>
      <c r="B8" s="28">
        <v>3110</v>
      </c>
      <c r="C8" s="29" t="s">
        <v>55</v>
      </c>
      <c r="D8" s="30">
        <f>-N(0)</f>
        <v>0</v>
      </c>
      <c r="E8" s="30">
        <f>-N(-1733)</f>
        <v>1733</v>
      </c>
      <c r="F8" s="30">
        <f>-N(0)</f>
        <v>0</v>
      </c>
      <c r="G8" s="30">
        <f t="shared" si="0"/>
        <v>0</v>
      </c>
      <c r="H8" s="30">
        <f t="shared" si="0"/>
        <v>0</v>
      </c>
      <c r="I8" s="30">
        <f t="shared" si="0"/>
        <v>0</v>
      </c>
      <c r="J8" s="30">
        <f t="shared" si="0"/>
        <v>0</v>
      </c>
      <c r="K8" s="30">
        <f t="shared" si="0"/>
        <v>0</v>
      </c>
      <c r="L8" s="30">
        <f t="shared" si="0"/>
        <v>0</v>
      </c>
      <c r="M8" s="30">
        <f t="shared" si="0"/>
        <v>0</v>
      </c>
      <c r="N8" s="30">
        <f>-N(0)</f>
        <v>0</v>
      </c>
      <c r="O8" s="30">
        <f t="shared" si="1"/>
        <v>0</v>
      </c>
      <c r="P8" s="169">
        <f>SUM(D8:O8)</f>
        <v>1733</v>
      </c>
    </row>
    <row r="9" spans="1:16" outlineLevel="1" collapsed="1">
      <c r="A9" s="22"/>
      <c r="B9" s="35" t="str">
        <f>"    "&amp;"Salgsinntekt, avgiftspliktig"</f>
        <v xml:space="preserve">    Salgsinntekt, avgiftspliktig</v>
      </c>
      <c r="C9" s="36"/>
      <c r="D9" s="33">
        <f t="shared" ref="D9:O9" si="2">SUM(D7:D8)</f>
        <v>-299</v>
      </c>
      <c r="E9" s="33">
        <f t="shared" si="2"/>
        <v>1733</v>
      </c>
      <c r="F9" s="33">
        <f t="shared" si="2"/>
        <v>96428.75</v>
      </c>
      <c r="G9" s="33">
        <f t="shared" si="2"/>
        <v>0</v>
      </c>
      <c r="H9" s="33">
        <f t="shared" si="2"/>
        <v>0</v>
      </c>
      <c r="I9" s="33">
        <f t="shared" si="2"/>
        <v>0</v>
      </c>
      <c r="J9" s="33">
        <f t="shared" si="2"/>
        <v>0</v>
      </c>
      <c r="K9" s="33">
        <f t="shared" si="2"/>
        <v>0</v>
      </c>
      <c r="L9" s="33">
        <f t="shared" si="2"/>
        <v>0</v>
      </c>
      <c r="M9" s="33">
        <f t="shared" si="2"/>
        <v>0</v>
      </c>
      <c r="N9" s="33">
        <f t="shared" si="2"/>
        <v>-349</v>
      </c>
      <c r="O9" s="33">
        <f t="shared" si="2"/>
        <v>0</v>
      </c>
      <c r="P9" s="170">
        <f>SUM(D9:O9)</f>
        <v>97513.75</v>
      </c>
    </row>
    <row r="10" spans="1:16" hidden="1" outlineLevel="2">
      <c r="A10" s="22"/>
      <c r="B10" s="28">
        <v>3701</v>
      </c>
      <c r="C10" s="29" t="s">
        <v>57</v>
      </c>
      <c r="D10" s="30">
        <f t="shared" ref="D10:M10" si="3">-N(0)</f>
        <v>0</v>
      </c>
      <c r="E10" s="30">
        <f t="shared" si="3"/>
        <v>0</v>
      </c>
      <c r="F10" s="30">
        <f t="shared" si="3"/>
        <v>0</v>
      </c>
      <c r="G10" s="30">
        <f t="shared" si="3"/>
        <v>0</v>
      </c>
      <c r="H10" s="30">
        <f t="shared" si="3"/>
        <v>0</v>
      </c>
      <c r="I10" s="30">
        <f t="shared" si="3"/>
        <v>0</v>
      </c>
      <c r="J10" s="30">
        <f t="shared" si="3"/>
        <v>0</v>
      </c>
      <c r="K10" s="30">
        <f t="shared" si="3"/>
        <v>0</v>
      </c>
      <c r="L10" s="30">
        <f t="shared" si="3"/>
        <v>0</v>
      </c>
      <c r="M10" s="30">
        <f t="shared" si="3"/>
        <v>0</v>
      </c>
      <c r="N10" s="30">
        <f>-N(-9470)</f>
        <v>9470</v>
      </c>
      <c r="O10" s="30">
        <f>-N(0)</f>
        <v>0</v>
      </c>
      <c r="P10" s="169">
        <f>SUM(D10:O10)</f>
        <v>9470</v>
      </c>
    </row>
    <row r="11" spans="1:16" outlineLevel="1" collapsed="1">
      <c r="A11" s="22"/>
      <c r="B11" s="35" t="str">
        <f>"    "&amp;"Salgsinntekt, avgiftsfri"</f>
        <v xml:space="preserve">    Salgsinntekt, avgiftsfri</v>
      </c>
      <c r="C11" s="36"/>
      <c r="D11" s="33">
        <f t="shared" ref="D11:O11" si="4">SUM(D10)</f>
        <v>0</v>
      </c>
      <c r="E11" s="33">
        <f t="shared" si="4"/>
        <v>0</v>
      </c>
      <c r="F11" s="33">
        <f t="shared" si="4"/>
        <v>0</v>
      </c>
      <c r="G11" s="33">
        <f t="shared" si="4"/>
        <v>0</v>
      </c>
      <c r="H11" s="33">
        <f t="shared" si="4"/>
        <v>0</v>
      </c>
      <c r="I11" s="33">
        <f t="shared" si="4"/>
        <v>0</v>
      </c>
      <c r="J11" s="33">
        <f t="shared" si="4"/>
        <v>0</v>
      </c>
      <c r="K11" s="33">
        <f t="shared" si="4"/>
        <v>0</v>
      </c>
      <c r="L11" s="33">
        <f t="shared" si="4"/>
        <v>0</v>
      </c>
      <c r="M11" s="33">
        <f t="shared" si="4"/>
        <v>0</v>
      </c>
      <c r="N11" s="33">
        <f t="shared" si="4"/>
        <v>9470</v>
      </c>
      <c r="O11" s="33">
        <f t="shared" si="4"/>
        <v>0</v>
      </c>
      <c r="P11" s="170">
        <f>SUM(D11:O11)</f>
        <v>9470</v>
      </c>
    </row>
    <row r="12" spans="1:16" hidden="1" outlineLevel="2">
      <c r="A12" s="22"/>
      <c r="B12" s="28">
        <v>3200</v>
      </c>
      <c r="C12" s="29" t="s">
        <v>58</v>
      </c>
      <c r="D12" s="30">
        <f>-N(-950)</f>
        <v>950</v>
      </c>
      <c r="E12" s="30">
        <f t="shared" ref="E12:H17" si="5">-N(0)</f>
        <v>0</v>
      </c>
      <c r="F12" s="30">
        <f t="shared" si="5"/>
        <v>0</v>
      </c>
      <c r="G12" s="30">
        <f t="shared" si="5"/>
        <v>0</v>
      </c>
      <c r="H12" s="30">
        <f>-N(-1583813.95)</f>
        <v>1583813.95</v>
      </c>
      <c r="I12" s="30">
        <f t="shared" ref="I12:K17" si="6">-N(0)</f>
        <v>0</v>
      </c>
      <c r="J12" s="30">
        <f t="shared" si="6"/>
        <v>0</v>
      </c>
      <c r="K12" s="30">
        <f>-N(-259900)</f>
        <v>259900</v>
      </c>
      <c r="L12" s="30">
        <f t="shared" ref="L12:M17" si="7">-N(0)</f>
        <v>0</v>
      </c>
      <c r="M12" s="30">
        <f t="shared" si="7"/>
        <v>0</v>
      </c>
      <c r="N12" s="30">
        <f>-N(-1958427.99)</f>
        <v>1958427.99</v>
      </c>
      <c r="O12" s="30">
        <f t="shared" ref="O12:O17" si="8">-N(0)</f>
        <v>0</v>
      </c>
      <c r="P12" s="169">
        <f>SUM(D12:O12)</f>
        <v>3803091.94</v>
      </c>
    </row>
    <row r="13" spans="1:16" hidden="1" outlineLevel="2">
      <c r="A13" s="22"/>
      <c r="B13" s="28">
        <v>3202</v>
      </c>
      <c r="C13" s="29" t="s">
        <v>60</v>
      </c>
      <c r="D13" s="30">
        <f t="shared" ref="D13:D17" si="9">-N(0)</f>
        <v>0</v>
      </c>
      <c r="E13" s="30">
        <f t="shared" si="5"/>
        <v>0</v>
      </c>
      <c r="F13" s="30">
        <f t="shared" si="5"/>
        <v>0</v>
      </c>
      <c r="G13" s="30">
        <f t="shared" si="5"/>
        <v>0</v>
      </c>
      <c r="H13" s="30">
        <f>-N(4000)</f>
        <v>-4000</v>
      </c>
      <c r="I13" s="30">
        <f t="shared" si="6"/>
        <v>0</v>
      </c>
      <c r="J13" s="30">
        <f t="shared" si="6"/>
        <v>0</v>
      </c>
      <c r="K13" s="30">
        <f>-N(0)</f>
        <v>0</v>
      </c>
      <c r="L13" s="30">
        <f t="shared" si="7"/>
        <v>0</v>
      </c>
      <c r="M13" s="30">
        <f t="shared" si="7"/>
        <v>0</v>
      </c>
      <c r="N13" s="30">
        <f>-N(-14000)</f>
        <v>14000</v>
      </c>
      <c r="O13" s="30">
        <f t="shared" si="8"/>
        <v>0</v>
      </c>
      <c r="P13" s="169">
        <f>SUM(D13:O13)</f>
        <v>10000</v>
      </c>
    </row>
    <row r="14" spans="1:16" hidden="1" outlineLevel="2">
      <c r="A14" s="22"/>
      <c r="B14" s="28">
        <v>3205</v>
      </c>
      <c r="C14" s="29" t="s">
        <v>61</v>
      </c>
      <c r="D14" s="30">
        <f t="shared" si="9"/>
        <v>0</v>
      </c>
      <c r="E14" s="30">
        <f t="shared" si="5"/>
        <v>0</v>
      </c>
      <c r="F14" s="30">
        <f t="shared" si="5"/>
        <v>0</v>
      </c>
      <c r="G14" s="30">
        <f t="shared" si="5"/>
        <v>0</v>
      </c>
      <c r="H14" s="30">
        <f>-N(-247068)</f>
        <v>247068</v>
      </c>
      <c r="I14" s="30">
        <f t="shared" si="6"/>
        <v>0</v>
      </c>
      <c r="J14" s="30">
        <f t="shared" si="6"/>
        <v>0</v>
      </c>
      <c r="K14" s="30">
        <f>-N(-36790)</f>
        <v>36790</v>
      </c>
      <c r="L14" s="30">
        <f t="shared" si="7"/>
        <v>0</v>
      </c>
      <c r="M14" s="30">
        <f t="shared" si="7"/>
        <v>0</v>
      </c>
      <c r="N14" s="30">
        <f>-N(0)</f>
        <v>0</v>
      </c>
      <c r="O14" s="30">
        <f t="shared" si="8"/>
        <v>0</v>
      </c>
      <c r="P14" s="169">
        <f>SUM(D14:O14)</f>
        <v>283858</v>
      </c>
    </row>
    <row r="15" spans="1:16" hidden="1" outlineLevel="2">
      <c r="A15" s="22"/>
      <c r="B15" s="28">
        <v>3226</v>
      </c>
      <c r="C15" s="29" t="s">
        <v>62</v>
      </c>
      <c r="D15" s="30">
        <f t="shared" si="9"/>
        <v>0</v>
      </c>
      <c r="E15" s="30">
        <f t="shared" si="5"/>
        <v>0</v>
      </c>
      <c r="F15" s="30">
        <f t="shared" si="5"/>
        <v>0</v>
      </c>
      <c r="G15" s="30">
        <f t="shared" si="5"/>
        <v>0</v>
      </c>
      <c r="H15" s="30">
        <f>-N(-110000)</f>
        <v>110000</v>
      </c>
      <c r="I15" s="30">
        <f t="shared" si="6"/>
        <v>0</v>
      </c>
      <c r="J15" s="30">
        <f t="shared" si="6"/>
        <v>0</v>
      </c>
      <c r="K15" s="30">
        <f t="shared" si="6"/>
        <v>0</v>
      </c>
      <c r="L15" s="30">
        <f t="shared" si="7"/>
        <v>0</v>
      </c>
      <c r="M15" s="30">
        <f t="shared" si="7"/>
        <v>0</v>
      </c>
      <c r="N15" s="30">
        <f>-N(-100000)</f>
        <v>100000</v>
      </c>
      <c r="O15" s="30">
        <f t="shared" si="8"/>
        <v>0</v>
      </c>
      <c r="P15" s="169">
        <f>SUM(D15:O15)</f>
        <v>210000</v>
      </c>
    </row>
    <row r="16" spans="1:16" hidden="1" outlineLevel="2">
      <c r="A16" s="22"/>
      <c r="B16" s="28">
        <v>3605</v>
      </c>
      <c r="C16" s="29" t="s">
        <v>60</v>
      </c>
      <c r="D16" s="30">
        <f t="shared" si="9"/>
        <v>0</v>
      </c>
      <c r="E16" s="30">
        <f t="shared" si="5"/>
        <v>0</v>
      </c>
      <c r="F16" s="30">
        <f t="shared" si="5"/>
        <v>0</v>
      </c>
      <c r="G16" s="30">
        <f t="shared" si="5"/>
        <v>0</v>
      </c>
      <c r="H16" s="30">
        <f t="shared" si="5"/>
        <v>0</v>
      </c>
      <c r="I16" s="30">
        <f t="shared" si="6"/>
        <v>0</v>
      </c>
      <c r="J16" s="30">
        <f t="shared" si="6"/>
        <v>0</v>
      </c>
      <c r="K16" s="30">
        <f t="shared" si="6"/>
        <v>0</v>
      </c>
      <c r="L16" s="30">
        <f t="shared" si="7"/>
        <v>0</v>
      </c>
      <c r="M16" s="30">
        <f t="shared" si="7"/>
        <v>0</v>
      </c>
      <c r="N16" s="30">
        <f>-N(0)</f>
        <v>0</v>
      </c>
      <c r="O16" s="30">
        <f t="shared" si="8"/>
        <v>0</v>
      </c>
      <c r="P16" s="169">
        <f>SUM(D16:O16)</f>
        <v>0</v>
      </c>
    </row>
    <row r="17" spans="1:16" hidden="1" outlineLevel="2">
      <c r="A17" s="22"/>
      <c r="B17" s="28">
        <v>3990</v>
      </c>
      <c r="C17" s="29" t="s">
        <v>64</v>
      </c>
      <c r="D17" s="30">
        <f t="shared" si="9"/>
        <v>0</v>
      </c>
      <c r="E17" s="30">
        <f t="shared" si="5"/>
        <v>0</v>
      </c>
      <c r="F17" s="30">
        <f t="shared" si="5"/>
        <v>0</v>
      </c>
      <c r="G17" s="30">
        <f t="shared" si="5"/>
        <v>0</v>
      </c>
      <c r="H17" s="30">
        <f t="shared" si="5"/>
        <v>0</v>
      </c>
      <c r="I17" s="30">
        <f t="shared" si="6"/>
        <v>0</v>
      </c>
      <c r="J17" s="30">
        <f t="shared" si="6"/>
        <v>0</v>
      </c>
      <c r="K17" s="30">
        <f t="shared" si="6"/>
        <v>0</v>
      </c>
      <c r="L17" s="30">
        <f t="shared" si="7"/>
        <v>0</v>
      </c>
      <c r="M17" s="30">
        <f t="shared" si="7"/>
        <v>0</v>
      </c>
      <c r="N17" s="30">
        <f>-N(912606.21)</f>
        <v>-912606.21</v>
      </c>
      <c r="O17" s="30">
        <f t="shared" si="8"/>
        <v>0</v>
      </c>
      <c r="P17" s="169">
        <f>SUM(D17:O17)</f>
        <v>-912606.21</v>
      </c>
    </row>
    <row r="18" spans="1:16" outlineLevel="1" collapsed="1">
      <c r="A18" s="22"/>
      <c r="B18" s="35" t="str">
        <f>"    "&amp;"Arrangement"</f>
        <v xml:space="preserve">    Arrangement</v>
      </c>
      <c r="C18" s="36"/>
      <c r="D18" s="33">
        <f t="shared" ref="D18:O18" si="10">SUM(D12:D17)</f>
        <v>950</v>
      </c>
      <c r="E18" s="33">
        <f t="shared" si="10"/>
        <v>0</v>
      </c>
      <c r="F18" s="33">
        <f t="shared" si="10"/>
        <v>0</v>
      </c>
      <c r="G18" s="33">
        <f t="shared" si="10"/>
        <v>0</v>
      </c>
      <c r="H18" s="33">
        <f t="shared" si="10"/>
        <v>1936881.95</v>
      </c>
      <c r="I18" s="33">
        <f t="shared" si="10"/>
        <v>0</v>
      </c>
      <c r="J18" s="33">
        <f t="shared" si="10"/>
        <v>0</v>
      </c>
      <c r="K18" s="33">
        <f t="shared" si="10"/>
        <v>296690</v>
      </c>
      <c r="L18" s="33">
        <f t="shared" si="10"/>
        <v>0</v>
      </c>
      <c r="M18" s="33">
        <f t="shared" si="10"/>
        <v>0</v>
      </c>
      <c r="N18" s="33">
        <f t="shared" si="10"/>
        <v>1159821.78</v>
      </c>
      <c r="O18" s="33">
        <f t="shared" si="10"/>
        <v>0</v>
      </c>
      <c r="P18" s="170">
        <f>SUM(D18:O18)</f>
        <v>3394343.7300000004</v>
      </c>
    </row>
    <row r="19" spans="1:16">
      <c r="A19" s="22"/>
      <c r="B19" s="41" t="s">
        <v>9</v>
      </c>
      <c r="C19" s="42"/>
      <c r="D19" s="44">
        <f t="shared" ref="D19:O19" si="11">SUM(D9,D11,D18)</f>
        <v>651</v>
      </c>
      <c r="E19" s="44">
        <f t="shared" si="11"/>
        <v>1733</v>
      </c>
      <c r="F19" s="44">
        <f t="shared" si="11"/>
        <v>96428.75</v>
      </c>
      <c r="G19" s="44">
        <f t="shared" si="11"/>
        <v>0</v>
      </c>
      <c r="H19" s="44">
        <f t="shared" si="11"/>
        <v>1936881.95</v>
      </c>
      <c r="I19" s="44">
        <f t="shared" si="11"/>
        <v>0</v>
      </c>
      <c r="J19" s="44">
        <f t="shared" si="11"/>
        <v>0</v>
      </c>
      <c r="K19" s="44">
        <f t="shared" si="11"/>
        <v>296690</v>
      </c>
      <c r="L19" s="44">
        <f t="shared" si="11"/>
        <v>0</v>
      </c>
      <c r="M19" s="44">
        <f t="shared" si="11"/>
        <v>0</v>
      </c>
      <c r="N19" s="44">
        <f t="shared" si="11"/>
        <v>1168942.78</v>
      </c>
      <c r="O19" s="44">
        <f t="shared" si="11"/>
        <v>0</v>
      </c>
      <c r="P19" s="171">
        <f>SUM(D19:O19)</f>
        <v>3501327.4800000004</v>
      </c>
    </row>
    <row r="20" spans="1:16" hidden="1" outlineLevel="2">
      <c r="A20" s="22"/>
      <c r="B20" s="28">
        <v>3218</v>
      </c>
      <c r="C20" s="29" t="s">
        <v>67</v>
      </c>
      <c r="D20" s="30">
        <f>-N(-546437.76)</f>
        <v>546437.76</v>
      </c>
      <c r="E20" s="30">
        <f t="shared" ref="E20:M21" si="12">-N(0)</f>
        <v>0</v>
      </c>
      <c r="F20" s="30">
        <f t="shared" si="12"/>
        <v>0</v>
      </c>
      <c r="G20" s="30">
        <f t="shared" si="12"/>
        <v>0</v>
      </c>
      <c r="H20" s="30">
        <f t="shared" si="12"/>
        <v>0</v>
      </c>
      <c r="I20" s="30">
        <f t="shared" si="12"/>
        <v>0</v>
      </c>
      <c r="J20" s="30">
        <f t="shared" si="12"/>
        <v>0</v>
      </c>
      <c r="K20" s="30">
        <f t="shared" si="12"/>
        <v>0</v>
      </c>
      <c r="L20" s="30">
        <f t="shared" si="12"/>
        <v>0</v>
      </c>
      <c r="M20" s="30">
        <f>-N(-3994203.96)</f>
        <v>3994203.96</v>
      </c>
      <c r="N20" s="30">
        <f t="shared" ref="N20:O21" si="13">-N(0)</f>
        <v>0</v>
      </c>
      <c r="O20" s="30">
        <f t="shared" si="13"/>
        <v>0</v>
      </c>
      <c r="P20" s="169">
        <f>SUM(D20:O20)</f>
        <v>4540641.72</v>
      </c>
    </row>
    <row r="21" spans="1:16" hidden="1" outlineLevel="2">
      <c r="A21" s="22"/>
      <c r="B21" s="28">
        <v>3238</v>
      </c>
      <c r="C21" s="29" t="s">
        <v>69</v>
      </c>
      <c r="D21" s="30">
        <f>-N(-2667085.78)</f>
        <v>2667085.7799999998</v>
      </c>
      <c r="E21" s="30">
        <f t="shared" si="12"/>
        <v>0</v>
      </c>
      <c r="F21" s="30">
        <f t="shared" si="12"/>
        <v>0</v>
      </c>
      <c r="G21" s="30">
        <f t="shared" si="12"/>
        <v>0</v>
      </c>
      <c r="H21" s="30">
        <f>-N(-28089)</f>
        <v>28089</v>
      </c>
      <c r="I21" s="30">
        <f t="shared" si="12"/>
        <v>0</v>
      </c>
      <c r="J21" s="30">
        <f t="shared" si="12"/>
        <v>0</v>
      </c>
      <c r="K21" s="30">
        <f t="shared" si="12"/>
        <v>0</v>
      </c>
      <c r="L21" s="30">
        <f t="shared" si="12"/>
        <v>0</v>
      </c>
      <c r="M21" s="30">
        <f t="shared" si="12"/>
        <v>0</v>
      </c>
      <c r="N21" s="30">
        <f t="shared" si="13"/>
        <v>0</v>
      </c>
      <c r="O21" s="30">
        <f t="shared" si="13"/>
        <v>0</v>
      </c>
      <c r="P21" s="169">
        <f>SUM(D21:O21)</f>
        <v>2695174.78</v>
      </c>
    </row>
    <row r="22" spans="1:16" outlineLevel="1" collapsed="1">
      <c r="A22" s="22"/>
      <c r="B22" s="35" t="str">
        <f>"    "&amp;"Gaver"</f>
        <v xml:space="preserve">    Gaver</v>
      </c>
      <c r="C22" s="36"/>
      <c r="D22" s="33">
        <f t="shared" ref="D22:O22" si="14">SUM(D20:D21)</f>
        <v>3213523.54</v>
      </c>
      <c r="E22" s="33">
        <f t="shared" si="14"/>
        <v>0</v>
      </c>
      <c r="F22" s="33">
        <f t="shared" si="14"/>
        <v>0</v>
      </c>
      <c r="G22" s="33">
        <f t="shared" si="14"/>
        <v>0</v>
      </c>
      <c r="H22" s="33">
        <f t="shared" si="14"/>
        <v>28089</v>
      </c>
      <c r="I22" s="33">
        <f t="shared" si="14"/>
        <v>0</v>
      </c>
      <c r="J22" s="33">
        <f t="shared" si="14"/>
        <v>0</v>
      </c>
      <c r="K22" s="33">
        <f t="shared" si="14"/>
        <v>0</v>
      </c>
      <c r="L22" s="33">
        <f t="shared" si="14"/>
        <v>0</v>
      </c>
      <c r="M22" s="33">
        <f t="shared" si="14"/>
        <v>3994203.96</v>
      </c>
      <c r="N22" s="33">
        <f t="shared" si="14"/>
        <v>0</v>
      </c>
      <c r="O22" s="33">
        <f t="shared" si="14"/>
        <v>0</v>
      </c>
      <c r="P22" s="170">
        <f>SUM(D22:O22)</f>
        <v>7235816.5</v>
      </c>
    </row>
    <row r="23" spans="1:16">
      <c r="A23" s="22"/>
      <c r="B23" s="41" t="s">
        <v>70</v>
      </c>
      <c r="C23" s="42"/>
      <c r="D23" s="44">
        <f t="shared" ref="D23:O23" si="15">SUM(D22)</f>
        <v>3213523.54</v>
      </c>
      <c r="E23" s="44">
        <f t="shared" si="15"/>
        <v>0</v>
      </c>
      <c r="F23" s="44">
        <f t="shared" si="15"/>
        <v>0</v>
      </c>
      <c r="G23" s="44">
        <f t="shared" si="15"/>
        <v>0</v>
      </c>
      <c r="H23" s="44">
        <f t="shared" si="15"/>
        <v>28089</v>
      </c>
      <c r="I23" s="44">
        <f t="shared" si="15"/>
        <v>0</v>
      </c>
      <c r="J23" s="44">
        <f t="shared" si="15"/>
        <v>0</v>
      </c>
      <c r="K23" s="44">
        <f t="shared" si="15"/>
        <v>0</v>
      </c>
      <c r="L23" s="44">
        <f t="shared" si="15"/>
        <v>0</v>
      </c>
      <c r="M23" s="44">
        <f t="shared" si="15"/>
        <v>3994203.96</v>
      </c>
      <c r="N23" s="44">
        <f t="shared" si="15"/>
        <v>0</v>
      </c>
      <c r="O23" s="44">
        <f t="shared" si="15"/>
        <v>0</v>
      </c>
      <c r="P23" s="171">
        <f>SUM(D23:O23)</f>
        <v>7235816.5</v>
      </c>
    </row>
    <row r="24" spans="1:16" hidden="1" outlineLevel="2">
      <c r="A24" s="22"/>
      <c r="B24" s="28">
        <v>3225</v>
      </c>
      <c r="C24" s="29" t="s">
        <v>71</v>
      </c>
      <c r="D24" s="30">
        <f>-N(-203660)</f>
        <v>203660</v>
      </c>
      <c r="E24" s="30">
        <f t="shared" ref="E24:N27" si="16">-N(0)</f>
        <v>0</v>
      </c>
      <c r="F24" s="30">
        <f t="shared" si="16"/>
        <v>0</v>
      </c>
      <c r="G24" s="30">
        <f t="shared" si="16"/>
        <v>0</v>
      </c>
      <c r="H24" s="30">
        <f t="shared" si="16"/>
        <v>0</v>
      </c>
      <c r="I24" s="30">
        <f t="shared" si="16"/>
        <v>0</v>
      </c>
      <c r="J24" s="30">
        <f t="shared" si="16"/>
        <v>0</v>
      </c>
      <c r="K24" s="30">
        <f t="shared" si="16"/>
        <v>0</v>
      </c>
      <c r="L24" s="30">
        <f t="shared" si="16"/>
        <v>0</v>
      </c>
      <c r="M24" s="30">
        <f t="shared" si="16"/>
        <v>0</v>
      </c>
      <c r="N24" s="30">
        <f>-N(-15290)</f>
        <v>15290</v>
      </c>
      <c r="O24" s="30">
        <f t="shared" ref="O24:O26" si="17">-N(0)</f>
        <v>0</v>
      </c>
      <c r="P24" s="169">
        <f>SUM(D24:O24)</f>
        <v>218950</v>
      </c>
    </row>
    <row r="25" spans="1:16" hidden="1" outlineLevel="2">
      <c r="A25" s="22"/>
      <c r="B25" s="28">
        <v>3410</v>
      </c>
      <c r="C25" s="29" t="s">
        <v>22</v>
      </c>
      <c r="D25" s="30">
        <f>-N(-1710885.15)</f>
        <v>1710885.15</v>
      </c>
      <c r="E25" s="30">
        <f t="shared" si="16"/>
        <v>0</v>
      </c>
      <c r="F25" s="30">
        <f t="shared" si="16"/>
        <v>0</v>
      </c>
      <c r="G25" s="30">
        <f t="shared" si="16"/>
        <v>0</v>
      </c>
      <c r="H25" s="30">
        <f t="shared" si="16"/>
        <v>0</v>
      </c>
      <c r="I25" s="30">
        <f t="shared" si="16"/>
        <v>0</v>
      </c>
      <c r="J25" s="30">
        <f t="shared" si="16"/>
        <v>0</v>
      </c>
      <c r="K25" s="30">
        <f t="shared" si="16"/>
        <v>0</v>
      </c>
      <c r="L25" s="30">
        <f t="shared" si="16"/>
        <v>0</v>
      </c>
      <c r="M25" s="30">
        <f t="shared" si="16"/>
        <v>0</v>
      </c>
      <c r="N25" s="30">
        <f t="shared" si="16"/>
        <v>0</v>
      </c>
      <c r="O25" s="30">
        <f t="shared" si="17"/>
        <v>0</v>
      </c>
      <c r="P25" s="169">
        <f>SUM(D25:O25)</f>
        <v>1710885.15</v>
      </c>
    </row>
    <row r="26" spans="1:16" hidden="1" outlineLevel="2">
      <c r="A26" s="22"/>
      <c r="B26" s="28">
        <v>3411</v>
      </c>
      <c r="C26" s="29" t="s">
        <v>23</v>
      </c>
      <c r="D26" s="30">
        <f>-N(-135819.04)</f>
        <v>135819.04</v>
      </c>
      <c r="E26" s="30">
        <f t="shared" si="16"/>
        <v>0</v>
      </c>
      <c r="F26" s="30">
        <f t="shared" si="16"/>
        <v>0</v>
      </c>
      <c r="G26" s="30">
        <f t="shared" si="16"/>
        <v>0</v>
      </c>
      <c r="H26" s="30">
        <f t="shared" si="16"/>
        <v>0</v>
      </c>
      <c r="I26" s="30">
        <f t="shared" si="16"/>
        <v>0</v>
      </c>
      <c r="J26" s="30">
        <f t="shared" si="16"/>
        <v>0</v>
      </c>
      <c r="K26" s="30">
        <f t="shared" si="16"/>
        <v>0</v>
      </c>
      <c r="L26" s="30">
        <f t="shared" si="16"/>
        <v>0</v>
      </c>
      <c r="M26" s="30">
        <f t="shared" si="16"/>
        <v>0</v>
      </c>
      <c r="N26" s="30">
        <f t="shared" si="16"/>
        <v>0</v>
      </c>
      <c r="O26" s="30">
        <f t="shared" si="17"/>
        <v>0</v>
      </c>
      <c r="P26" s="169">
        <f>SUM(D26:O26)</f>
        <v>135819.04</v>
      </c>
    </row>
    <row r="27" spans="1:16" hidden="1" outlineLevel="2">
      <c r="A27" s="22"/>
      <c r="B27" s="28">
        <v>3450</v>
      </c>
      <c r="C27" s="29" t="s">
        <v>72</v>
      </c>
      <c r="D27" s="30">
        <f>-N(0)</f>
        <v>0</v>
      </c>
      <c r="E27" s="30">
        <f>-N(-5199687.11)</f>
        <v>5199687.1100000003</v>
      </c>
      <c r="F27" s="30">
        <f>-N(-198083.32)</f>
        <v>198083.32</v>
      </c>
      <c r="G27" s="30">
        <f>-N(-1980833.18)</f>
        <v>1980833.18</v>
      </c>
      <c r="H27" s="30">
        <f>-N(0)</f>
        <v>0</v>
      </c>
      <c r="I27" s="30">
        <f>-N(-495208.3)</f>
        <v>495208.3</v>
      </c>
      <c r="J27" s="30">
        <f>-N(-371406.22)</f>
        <v>371406.22</v>
      </c>
      <c r="K27" s="30">
        <f>-N(-1646567.58)</f>
        <v>1646567.58</v>
      </c>
      <c r="L27" s="30">
        <f>-N(-99041.66)</f>
        <v>99041.66</v>
      </c>
      <c r="M27" s="30">
        <f>-N(-1176119.7)</f>
        <v>1176119.7</v>
      </c>
      <c r="N27" s="30">
        <f t="shared" si="16"/>
        <v>0</v>
      </c>
      <c r="O27" s="30">
        <f>-N(-1213260.33)</f>
        <v>1213260.33</v>
      </c>
      <c r="P27" s="169">
        <f>SUM(D27:O27)</f>
        <v>12380207.4</v>
      </c>
    </row>
    <row r="28" spans="1:16" outlineLevel="1" collapsed="1">
      <c r="A28" s="22"/>
      <c r="B28" s="35" t="str">
        <f>"    "&amp;"Offentlige tilskudd og refusjoner"</f>
        <v xml:space="preserve">    Offentlige tilskudd og refusjoner</v>
      </c>
      <c r="C28" s="36"/>
      <c r="D28" s="33">
        <f t="shared" ref="D28:O28" si="18">SUM(D24:D27)</f>
        <v>2050364.19</v>
      </c>
      <c r="E28" s="33">
        <f t="shared" si="18"/>
        <v>5199687.1100000003</v>
      </c>
      <c r="F28" s="33">
        <f t="shared" si="18"/>
        <v>198083.32</v>
      </c>
      <c r="G28" s="33">
        <f t="shared" si="18"/>
        <v>1980833.18</v>
      </c>
      <c r="H28" s="33">
        <f t="shared" si="18"/>
        <v>0</v>
      </c>
      <c r="I28" s="33">
        <f t="shared" si="18"/>
        <v>495208.3</v>
      </c>
      <c r="J28" s="33">
        <f t="shared" si="18"/>
        <v>371406.22</v>
      </c>
      <c r="K28" s="33">
        <f t="shared" si="18"/>
        <v>1646567.58</v>
      </c>
      <c r="L28" s="33">
        <f t="shared" si="18"/>
        <v>99041.66</v>
      </c>
      <c r="M28" s="33">
        <f t="shared" si="18"/>
        <v>1176119.7</v>
      </c>
      <c r="N28" s="33">
        <f t="shared" si="18"/>
        <v>15290</v>
      </c>
      <c r="O28" s="33">
        <f t="shared" si="18"/>
        <v>1213260.33</v>
      </c>
      <c r="P28" s="170">
        <f>SUM(D28:O28)</f>
        <v>14445861.590000002</v>
      </c>
    </row>
    <row r="29" spans="1:16" hidden="1" outlineLevel="2">
      <c r="A29" s="22"/>
      <c r="B29" s="28">
        <v>3210</v>
      </c>
      <c r="C29" s="29" t="s">
        <v>27</v>
      </c>
      <c r="D29" s="30">
        <f t="shared" ref="D29:G32" si="19">-N(0)</f>
        <v>0</v>
      </c>
      <c r="E29" s="30">
        <f>-N(-5495616)</f>
        <v>5495616</v>
      </c>
      <c r="F29" s="30">
        <f>-N(-209356.8)</f>
        <v>209356.79999999999</v>
      </c>
      <c r="G29" s="30">
        <f>-N(-2093568)</f>
        <v>2093568</v>
      </c>
      <c r="H29" s="30">
        <f t="shared" ref="H29:M32" si="20">-N(0)</f>
        <v>0</v>
      </c>
      <c r="I29" s="30">
        <f>-N(-523392)</f>
        <v>523392</v>
      </c>
      <c r="J29" s="30">
        <f>-N(-392544)</f>
        <v>392544</v>
      </c>
      <c r="K29" s="30">
        <f>-N(-1740278.4)</f>
        <v>1740278.4</v>
      </c>
      <c r="L29" s="30">
        <f>-N(-104678.4)</f>
        <v>104678.39999999999</v>
      </c>
      <c r="M29" s="30">
        <f>-N(-1243056)</f>
        <v>1243056</v>
      </c>
      <c r="N29" s="30">
        <f t="shared" ref="N29:O32" si="21">-N(0)</f>
        <v>0</v>
      </c>
      <c r="O29" s="30">
        <f>-N(-1282310.4)</f>
        <v>1282310.3999999999</v>
      </c>
      <c r="P29" s="169">
        <f>SUM(D29:O29)</f>
        <v>13084800.000000002</v>
      </c>
    </row>
    <row r="30" spans="1:16" hidden="1" outlineLevel="2">
      <c r="A30" s="22"/>
      <c r="B30" s="28">
        <v>3212</v>
      </c>
      <c r="C30" s="29" t="s">
        <v>28</v>
      </c>
      <c r="D30" s="30">
        <f t="shared" si="19"/>
        <v>0</v>
      </c>
      <c r="E30" s="30">
        <f t="shared" si="19"/>
        <v>0</v>
      </c>
      <c r="F30" s="30">
        <f t="shared" si="19"/>
        <v>0</v>
      </c>
      <c r="G30" s="30">
        <f t="shared" si="19"/>
        <v>0</v>
      </c>
      <c r="H30" s="30">
        <f t="shared" si="20"/>
        <v>0</v>
      </c>
      <c r="I30" s="30">
        <f t="shared" si="20"/>
        <v>0</v>
      </c>
      <c r="J30" s="30">
        <f t="shared" si="20"/>
        <v>0</v>
      </c>
      <c r="K30" s="30">
        <f t="shared" si="20"/>
        <v>0</v>
      </c>
      <c r="L30" s="30">
        <f t="shared" si="20"/>
        <v>0</v>
      </c>
      <c r="M30" s="30">
        <f t="shared" si="20"/>
        <v>0</v>
      </c>
      <c r="N30" s="30">
        <f t="shared" si="21"/>
        <v>0</v>
      </c>
      <c r="O30" s="30">
        <f t="shared" si="21"/>
        <v>0</v>
      </c>
      <c r="P30" s="169">
        <f>SUM(D30:O30)</f>
        <v>0</v>
      </c>
    </row>
    <row r="31" spans="1:16" hidden="1" outlineLevel="2">
      <c r="A31" s="22"/>
      <c r="B31" s="28">
        <v>3215</v>
      </c>
      <c r="C31" s="29" t="s">
        <v>73</v>
      </c>
      <c r="D31" s="30">
        <f>-N(668603)</f>
        <v>-668603</v>
      </c>
      <c r="E31" s="30">
        <f>-N(2831397)</f>
        <v>-2831397</v>
      </c>
      <c r="F31" s="30">
        <f t="shared" si="19"/>
        <v>0</v>
      </c>
      <c r="G31" s="30">
        <f t="shared" si="19"/>
        <v>0</v>
      </c>
      <c r="H31" s="30">
        <f t="shared" si="20"/>
        <v>0</v>
      </c>
      <c r="I31" s="30">
        <f t="shared" si="20"/>
        <v>0</v>
      </c>
      <c r="J31" s="30">
        <f t="shared" si="20"/>
        <v>0</v>
      </c>
      <c r="K31" s="30">
        <f t="shared" si="20"/>
        <v>0</v>
      </c>
      <c r="L31" s="30">
        <f t="shared" si="20"/>
        <v>0</v>
      </c>
      <c r="M31" s="30">
        <f t="shared" si="20"/>
        <v>0</v>
      </c>
      <c r="N31" s="30">
        <f>-N(-3500000)</f>
        <v>3500000</v>
      </c>
      <c r="O31" s="30">
        <f t="shared" si="21"/>
        <v>0</v>
      </c>
      <c r="P31" s="169">
        <f>SUM(D31:O31)</f>
        <v>0</v>
      </c>
    </row>
    <row r="32" spans="1:16" hidden="1" outlineLevel="2">
      <c r="A32" s="22"/>
      <c r="B32" s="28">
        <v>3230</v>
      </c>
      <c r="C32" s="29" t="s">
        <v>74</v>
      </c>
      <c r="D32" s="30">
        <f>-N(-9551472.18)</f>
        <v>9551472.1799999997</v>
      </c>
      <c r="E32" s="30">
        <f>-N(0)</f>
        <v>0</v>
      </c>
      <c r="F32" s="30">
        <f t="shared" si="19"/>
        <v>0</v>
      </c>
      <c r="G32" s="30">
        <f t="shared" si="19"/>
        <v>0</v>
      </c>
      <c r="H32" s="30">
        <f t="shared" si="20"/>
        <v>0</v>
      </c>
      <c r="I32" s="30">
        <f t="shared" si="20"/>
        <v>0</v>
      </c>
      <c r="J32" s="30">
        <f t="shared" si="20"/>
        <v>0</v>
      </c>
      <c r="K32" s="30">
        <f t="shared" si="20"/>
        <v>0</v>
      </c>
      <c r="L32" s="30">
        <f t="shared" si="20"/>
        <v>0</v>
      </c>
      <c r="M32" s="30">
        <f t="shared" si="20"/>
        <v>0</v>
      </c>
      <c r="N32" s="30">
        <f>-N(0)</f>
        <v>0</v>
      </c>
      <c r="O32" s="30">
        <f t="shared" si="21"/>
        <v>0</v>
      </c>
      <c r="P32" s="169">
        <f>SUM(D32:O32)</f>
        <v>9551472.1799999997</v>
      </c>
    </row>
    <row r="33" spans="1:16" outlineLevel="1" collapsed="1">
      <c r="A33" s="22"/>
      <c r="B33" s="35" t="str">
        <f>"    "&amp;"Tilskudd frikirkens menigheter"</f>
        <v xml:space="preserve">    Tilskudd frikirkens menigheter</v>
      </c>
      <c r="C33" s="36"/>
      <c r="D33" s="33">
        <f t="shared" ref="D33:O33" si="22">SUM(D29:D32)</f>
        <v>8882869.1799999997</v>
      </c>
      <c r="E33" s="33">
        <f t="shared" si="22"/>
        <v>2664219</v>
      </c>
      <c r="F33" s="33">
        <f t="shared" si="22"/>
        <v>209356.79999999999</v>
      </c>
      <c r="G33" s="33">
        <f t="shared" si="22"/>
        <v>2093568</v>
      </c>
      <c r="H33" s="33">
        <f t="shared" si="22"/>
        <v>0</v>
      </c>
      <c r="I33" s="33">
        <f t="shared" si="22"/>
        <v>523392</v>
      </c>
      <c r="J33" s="33">
        <f t="shared" si="22"/>
        <v>392544</v>
      </c>
      <c r="K33" s="33">
        <f t="shared" si="22"/>
        <v>1740278.4</v>
      </c>
      <c r="L33" s="33">
        <f t="shared" si="22"/>
        <v>104678.39999999999</v>
      </c>
      <c r="M33" s="33">
        <f t="shared" si="22"/>
        <v>1243056</v>
      </c>
      <c r="N33" s="33">
        <f t="shared" si="22"/>
        <v>3500000</v>
      </c>
      <c r="O33" s="33">
        <f t="shared" si="22"/>
        <v>1282310.3999999999</v>
      </c>
      <c r="P33" s="170">
        <f>SUM(D33:O33)</f>
        <v>22636272.18</v>
      </c>
    </row>
    <row r="34" spans="1:16" hidden="1" outlineLevel="2">
      <c r="A34" s="22"/>
      <c r="B34" s="28">
        <v>3455</v>
      </c>
      <c r="C34" s="29" t="s">
        <v>77</v>
      </c>
      <c r="D34" s="30">
        <f>-N(0)</f>
        <v>0</v>
      </c>
      <c r="E34" s="30">
        <f>-N(-1490747)</f>
        <v>1490747</v>
      </c>
      <c r="F34" s="30">
        <f t="shared" ref="F34:K36" si="23">-N(0)</f>
        <v>0</v>
      </c>
      <c r="G34" s="30">
        <f t="shared" si="23"/>
        <v>0</v>
      </c>
      <c r="H34" s="30">
        <f t="shared" si="23"/>
        <v>0</v>
      </c>
      <c r="I34" s="30">
        <f t="shared" si="23"/>
        <v>0</v>
      </c>
      <c r="J34" s="30">
        <f t="shared" si="23"/>
        <v>0</v>
      </c>
      <c r="K34" s="30">
        <f>-N(-241483)</f>
        <v>241483</v>
      </c>
      <c r="L34" s="30">
        <f t="shared" ref="L34:O36" si="24">-N(0)</f>
        <v>0</v>
      </c>
      <c r="M34" s="30">
        <f t="shared" si="24"/>
        <v>0</v>
      </c>
      <c r="N34" s="30">
        <f t="shared" si="24"/>
        <v>0</v>
      </c>
      <c r="O34" s="30">
        <f t="shared" si="24"/>
        <v>0</v>
      </c>
      <c r="P34" s="169">
        <f>SUM(D34:O34)</f>
        <v>1732230</v>
      </c>
    </row>
    <row r="35" spans="1:16" hidden="1" outlineLevel="2">
      <c r="A35" s="22"/>
      <c r="B35" s="28">
        <v>3600</v>
      </c>
      <c r="C35" s="29" t="s">
        <v>78</v>
      </c>
      <c r="D35" s="30">
        <f>-N(-494386.16)</f>
        <v>494386.16</v>
      </c>
      <c r="E35" s="30">
        <f>-N(0)</f>
        <v>0</v>
      </c>
      <c r="F35" s="30">
        <f t="shared" si="23"/>
        <v>0</v>
      </c>
      <c r="G35" s="30">
        <f t="shared" si="23"/>
        <v>0</v>
      </c>
      <c r="H35" s="30">
        <f t="shared" si="23"/>
        <v>0</v>
      </c>
      <c r="I35" s="30">
        <f t="shared" si="23"/>
        <v>0</v>
      </c>
      <c r="J35" s="30">
        <f t="shared" si="23"/>
        <v>0</v>
      </c>
      <c r="K35" s="30">
        <f t="shared" si="23"/>
        <v>0</v>
      </c>
      <c r="L35" s="30">
        <f t="shared" si="24"/>
        <v>0</v>
      </c>
      <c r="M35" s="30">
        <f t="shared" si="24"/>
        <v>0</v>
      </c>
      <c r="N35" s="30">
        <f t="shared" si="24"/>
        <v>0</v>
      </c>
      <c r="O35" s="30">
        <f t="shared" si="24"/>
        <v>0</v>
      </c>
      <c r="P35" s="169">
        <f>SUM(D35:O35)</f>
        <v>494386.16</v>
      </c>
    </row>
    <row r="36" spans="1:16" hidden="1" outlineLevel="2">
      <c r="A36" s="22"/>
      <c r="B36" s="28">
        <v>3900</v>
      </c>
      <c r="C36" s="29" t="s">
        <v>79</v>
      </c>
      <c r="D36" s="30">
        <f>-N(-444884.07)</f>
        <v>444884.07</v>
      </c>
      <c r="E36" s="30">
        <f>-N(-190794.17)</f>
        <v>190794.17</v>
      </c>
      <c r="F36" s="30">
        <f t="shared" si="23"/>
        <v>0</v>
      </c>
      <c r="G36" s="30">
        <f t="shared" si="23"/>
        <v>0</v>
      </c>
      <c r="H36" s="30">
        <f t="shared" si="23"/>
        <v>0</v>
      </c>
      <c r="I36" s="30">
        <f>-N(-60885)</f>
        <v>60885</v>
      </c>
      <c r="J36" s="30">
        <f t="shared" si="23"/>
        <v>0</v>
      </c>
      <c r="K36" s="30">
        <f t="shared" si="23"/>
        <v>0</v>
      </c>
      <c r="L36" s="30">
        <f t="shared" si="24"/>
        <v>0</v>
      </c>
      <c r="M36" s="30">
        <f>-N(-10866)</f>
        <v>10866</v>
      </c>
      <c r="N36" s="30">
        <f t="shared" si="24"/>
        <v>0</v>
      </c>
      <c r="O36" s="30">
        <f t="shared" si="24"/>
        <v>0</v>
      </c>
      <c r="P36" s="169">
        <f>SUM(D36:O36)</f>
        <v>707429.24</v>
      </c>
    </row>
    <row r="37" spans="1:16" outlineLevel="1" collapsed="1">
      <c r="A37" s="22"/>
      <c r="B37" s="35" t="str">
        <f>"    "&amp;"Annen driftsrelatert inntekt"</f>
        <v xml:space="preserve">    Annen driftsrelatert inntekt</v>
      </c>
      <c r="C37" s="36"/>
      <c r="D37" s="33">
        <f t="shared" ref="D37:O37" si="25">SUM(D34:D36)</f>
        <v>939270.23</v>
      </c>
      <c r="E37" s="33">
        <f t="shared" si="25"/>
        <v>1681541.17</v>
      </c>
      <c r="F37" s="33">
        <f t="shared" si="25"/>
        <v>0</v>
      </c>
      <c r="G37" s="33">
        <f t="shared" si="25"/>
        <v>0</v>
      </c>
      <c r="H37" s="33">
        <f t="shared" si="25"/>
        <v>0</v>
      </c>
      <c r="I37" s="33">
        <f t="shared" si="25"/>
        <v>60885</v>
      </c>
      <c r="J37" s="33">
        <f t="shared" si="25"/>
        <v>0</v>
      </c>
      <c r="K37" s="33">
        <f t="shared" si="25"/>
        <v>241483</v>
      </c>
      <c r="L37" s="33">
        <f t="shared" si="25"/>
        <v>0</v>
      </c>
      <c r="M37" s="33">
        <f t="shared" si="25"/>
        <v>10866</v>
      </c>
      <c r="N37" s="33">
        <f t="shared" si="25"/>
        <v>0</v>
      </c>
      <c r="O37" s="33">
        <f t="shared" si="25"/>
        <v>0</v>
      </c>
      <c r="P37" s="170">
        <f>SUM(D37:O37)</f>
        <v>2934045.4</v>
      </c>
    </row>
    <row r="38" spans="1:16">
      <c r="A38" s="22"/>
      <c r="B38" s="41" t="s">
        <v>80</v>
      </c>
      <c r="C38" s="42"/>
      <c r="D38" s="44">
        <f t="shared" ref="D38:O38" si="26">SUM(D28,D33,D37)</f>
        <v>11872503.6</v>
      </c>
      <c r="E38" s="44">
        <f t="shared" si="26"/>
        <v>9545447.2800000012</v>
      </c>
      <c r="F38" s="44">
        <f t="shared" si="26"/>
        <v>407440.12</v>
      </c>
      <c r="G38" s="44">
        <f t="shared" si="26"/>
        <v>4074401.1799999997</v>
      </c>
      <c r="H38" s="44">
        <f t="shared" si="26"/>
        <v>0</v>
      </c>
      <c r="I38" s="44">
        <f t="shared" si="26"/>
        <v>1079485.3</v>
      </c>
      <c r="J38" s="44">
        <f t="shared" si="26"/>
        <v>763950.22</v>
      </c>
      <c r="K38" s="44">
        <f t="shared" si="26"/>
        <v>3628328.98</v>
      </c>
      <c r="L38" s="44">
        <f t="shared" si="26"/>
        <v>203720.06</v>
      </c>
      <c r="M38" s="44">
        <f t="shared" si="26"/>
        <v>2430041.7000000002</v>
      </c>
      <c r="N38" s="44">
        <f t="shared" si="26"/>
        <v>3515290</v>
      </c>
      <c r="O38" s="44">
        <f t="shared" si="26"/>
        <v>2495570.73</v>
      </c>
      <c r="P38" s="171">
        <f>SUM(D38:O38)</f>
        <v>40016179.170000002</v>
      </c>
    </row>
    <row r="39" spans="1:16">
      <c r="A39" s="22"/>
      <c r="B39" s="48" t="s">
        <v>348</v>
      </c>
      <c r="C39" s="172"/>
      <c r="D39" s="51">
        <f ca="1">SUM(OSRRefD9x_0)</f>
        <v>15086678.140000001</v>
      </c>
      <c r="E39" s="51">
        <f ca="1">SUM(OSRRefD9x_1)</f>
        <v>9547180.2800000012</v>
      </c>
      <c r="F39" s="51">
        <f ca="1">SUM(OSRRefD9x_2)</f>
        <v>503868.87</v>
      </c>
      <c r="G39" s="51">
        <f ca="1">SUM(OSRRefD9x_3)</f>
        <v>4074401.1799999997</v>
      </c>
      <c r="H39" s="51">
        <f ca="1">SUM(OSRRefD9x_4)</f>
        <v>1964970.95</v>
      </c>
      <c r="I39" s="51">
        <f ca="1">SUM(OSRRefD9x_5)</f>
        <v>1079485.3</v>
      </c>
      <c r="J39" s="51">
        <f t="shared" ref="J39:O39" si="27">SUM(J19,J23,J38)</f>
        <v>763950.22</v>
      </c>
      <c r="K39" s="51">
        <f t="shared" si="27"/>
        <v>3925018.98</v>
      </c>
      <c r="L39" s="51">
        <f t="shared" si="27"/>
        <v>203720.06</v>
      </c>
      <c r="M39" s="51">
        <f t="shared" si="27"/>
        <v>6424245.6600000001</v>
      </c>
      <c r="N39" s="51">
        <f t="shared" si="27"/>
        <v>4684232.78</v>
      </c>
      <c r="O39" s="51">
        <f t="shared" si="27"/>
        <v>2495570.73</v>
      </c>
      <c r="P39" s="173">
        <f ca="1">SUM(D39:O39)</f>
        <v>50753323.149999999</v>
      </c>
    </row>
    <row r="40" spans="1:16" ht="9" customHeight="1">
      <c r="A40" s="22"/>
      <c r="B40" s="23"/>
      <c r="C40" s="24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168"/>
    </row>
    <row r="41" spans="1:16" hidden="1" outlineLevel="2">
      <c r="A41" s="22"/>
      <c r="B41" s="28">
        <v>4301</v>
      </c>
      <c r="C41" s="29" t="s">
        <v>81</v>
      </c>
      <c r="D41" s="30">
        <f>N(2089.6)</f>
        <v>2089.6</v>
      </c>
      <c r="E41" s="30">
        <f t="shared" ref="E41:H43" si="28">N(0)</f>
        <v>0</v>
      </c>
      <c r="F41" s="30">
        <f t="shared" si="28"/>
        <v>0</v>
      </c>
      <c r="G41" s="30">
        <f t="shared" si="28"/>
        <v>0</v>
      </c>
      <c r="H41" s="30">
        <f>N(306219.06)</f>
        <v>306219.06</v>
      </c>
      <c r="I41" s="30">
        <f t="shared" ref="I41:K43" si="29">N(0)</f>
        <v>0</v>
      </c>
      <c r="J41" s="30">
        <f t="shared" si="29"/>
        <v>0</v>
      </c>
      <c r="K41" s="30">
        <f>N(8071.61)</f>
        <v>8071.61</v>
      </c>
      <c r="L41" s="30">
        <f t="shared" ref="L41:O43" si="30">N(0)</f>
        <v>0</v>
      </c>
      <c r="M41" s="30">
        <f t="shared" si="30"/>
        <v>0</v>
      </c>
      <c r="N41" s="30">
        <f t="shared" si="30"/>
        <v>0</v>
      </c>
      <c r="O41" s="30">
        <f t="shared" si="30"/>
        <v>0</v>
      </c>
      <c r="P41" s="169">
        <f>SUM(D41:O41)</f>
        <v>316380.26999999996</v>
      </c>
    </row>
    <row r="42" spans="1:16" hidden="1" outlineLevel="2">
      <c r="A42" s="22"/>
      <c r="B42" s="28">
        <v>4305</v>
      </c>
      <c r="C42" s="29" t="s">
        <v>82</v>
      </c>
      <c r="D42" s="30">
        <f>N(0)</f>
        <v>0</v>
      </c>
      <c r="E42" s="30">
        <f t="shared" si="28"/>
        <v>0</v>
      </c>
      <c r="F42" s="30">
        <f>N(65369)</f>
        <v>65369</v>
      </c>
      <c r="G42" s="30">
        <f t="shared" si="28"/>
        <v>0</v>
      </c>
      <c r="H42" s="30">
        <f t="shared" si="28"/>
        <v>0</v>
      </c>
      <c r="I42" s="30">
        <f t="shared" si="29"/>
        <v>0</v>
      </c>
      <c r="J42" s="30">
        <f t="shared" si="29"/>
        <v>0</v>
      </c>
      <c r="K42" s="30">
        <f t="shared" si="29"/>
        <v>0</v>
      </c>
      <c r="L42" s="30">
        <f t="shared" si="30"/>
        <v>0</v>
      </c>
      <c r="M42" s="30">
        <f t="shared" si="30"/>
        <v>0</v>
      </c>
      <c r="N42" s="30">
        <f t="shared" si="30"/>
        <v>0</v>
      </c>
      <c r="O42" s="30">
        <f t="shared" si="30"/>
        <v>0</v>
      </c>
      <c r="P42" s="169">
        <f>SUM(D42:O42)</f>
        <v>65369</v>
      </c>
    </row>
    <row r="43" spans="1:16" hidden="1" outlineLevel="2">
      <c r="A43" s="22"/>
      <c r="B43" s="28">
        <v>4360</v>
      </c>
      <c r="C43" s="29" t="s">
        <v>83</v>
      </c>
      <c r="D43" s="30">
        <f>N(3435)</f>
        <v>3435</v>
      </c>
      <c r="E43" s="30">
        <f t="shared" si="28"/>
        <v>0</v>
      </c>
      <c r="F43" s="30">
        <f>N(50340.18)</f>
        <v>50340.18</v>
      </c>
      <c r="G43" s="30">
        <f t="shared" si="28"/>
        <v>0</v>
      </c>
      <c r="H43" s="30">
        <f t="shared" si="28"/>
        <v>0</v>
      </c>
      <c r="I43" s="30">
        <f t="shared" si="29"/>
        <v>0</v>
      </c>
      <c r="J43" s="30">
        <f t="shared" si="29"/>
        <v>0</v>
      </c>
      <c r="K43" s="30">
        <f t="shared" si="29"/>
        <v>0</v>
      </c>
      <c r="L43" s="30">
        <f t="shared" si="30"/>
        <v>0</v>
      </c>
      <c r="M43" s="30">
        <f t="shared" si="30"/>
        <v>0</v>
      </c>
      <c r="N43" s="30">
        <f t="shared" si="30"/>
        <v>0</v>
      </c>
      <c r="O43" s="30">
        <f t="shared" si="30"/>
        <v>0</v>
      </c>
      <c r="P43" s="169">
        <f>SUM(D43:O43)</f>
        <v>53775.18</v>
      </c>
    </row>
    <row r="44" spans="1:16" outlineLevel="1" collapsed="1">
      <c r="A44" s="22"/>
      <c r="B44" s="35" t="str">
        <f>"    "&amp;"Forbruk av innkjøpte varer for videresalg"</f>
        <v xml:space="preserve">    Forbruk av innkjøpte varer for videresalg</v>
      </c>
      <c r="C44" s="36"/>
      <c r="D44" s="33">
        <f t="shared" ref="D44:P44" si="31">SUM(D41:D43)</f>
        <v>5524.6</v>
      </c>
      <c r="E44" s="33">
        <f t="shared" si="31"/>
        <v>0</v>
      </c>
      <c r="F44" s="33">
        <f t="shared" si="31"/>
        <v>115709.18</v>
      </c>
      <c r="G44" s="33">
        <f t="shared" si="31"/>
        <v>0</v>
      </c>
      <c r="H44" s="33">
        <f t="shared" si="31"/>
        <v>306219.06</v>
      </c>
      <c r="I44" s="33">
        <f t="shared" si="31"/>
        <v>0</v>
      </c>
      <c r="J44" s="33">
        <f t="shared" si="31"/>
        <v>0</v>
      </c>
      <c r="K44" s="33">
        <f t="shared" si="31"/>
        <v>8071.61</v>
      </c>
      <c r="L44" s="33">
        <f t="shared" si="31"/>
        <v>0</v>
      </c>
      <c r="M44" s="33">
        <f t="shared" si="31"/>
        <v>0</v>
      </c>
      <c r="N44" s="33">
        <f t="shared" si="31"/>
        <v>0</v>
      </c>
      <c r="O44" s="33">
        <f t="shared" si="31"/>
        <v>0</v>
      </c>
      <c r="P44" s="170">
        <f t="shared" si="31"/>
        <v>435524.44999999995</v>
      </c>
    </row>
    <row r="45" spans="1:16">
      <c r="A45" s="22"/>
      <c r="B45" s="41" t="s">
        <v>16</v>
      </c>
      <c r="C45" s="42"/>
      <c r="D45" s="44">
        <f t="shared" ref="D45:P45" si="32">SUM(D44)</f>
        <v>5524.6</v>
      </c>
      <c r="E45" s="44">
        <f t="shared" si="32"/>
        <v>0</v>
      </c>
      <c r="F45" s="44">
        <f t="shared" si="32"/>
        <v>115709.18</v>
      </c>
      <c r="G45" s="44">
        <f t="shared" si="32"/>
        <v>0</v>
      </c>
      <c r="H45" s="44">
        <f t="shared" si="32"/>
        <v>306219.06</v>
      </c>
      <c r="I45" s="44">
        <f t="shared" si="32"/>
        <v>0</v>
      </c>
      <c r="J45" s="44">
        <f t="shared" si="32"/>
        <v>0</v>
      </c>
      <c r="K45" s="44">
        <f t="shared" si="32"/>
        <v>8071.61</v>
      </c>
      <c r="L45" s="44">
        <f t="shared" si="32"/>
        <v>0</v>
      </c>
      <c r="M45" s="44">
        <f t="shared" si="32"/>
        <v>0</v>
      </c>
      <c r="N45" s="44">
        <f t="shared" si="32"/>
        <v>0</v>
      </c>
      <c r="O45" s="44">
        <f t="shared" si="32"/>
        <v>0</v>
      </c>
      <c r="P45" s="171">
        <f t="shared" si="32"/>
        <v>435524.44999999995</v>
      </c>
    </row>
    <row r="46" spans="1:16" hidden="1" outlineLevel="2">
      <c r="A46" s="22"/>
      <c r="B46" s="28">
        <v>5000</v>
      </c>
      <c r="C46" s="29" t="s">
        <v>84</v>
      </c>
      <c r="D46" s="30">
        <f>N(2053323.7)</f>
        <v>2053323.7</v>
      </c>
      <c r="E46" s="30">
        <f>N(3505023.64)</f>
        <v>3505023.64</v>
      </c>
      <c r="F46" s="30">
        <f>N(258626.68)</f>
        <v>258626.68</v>
      </c>
      <c r="G46" s="30">
        <f t="shared" ref="G46:H55" si="33">N(0)</f>
        <v>0</v>
      </c>
      <c r="H46" s="30">
        <f>N(118247.48)</f>
        <v>118247.48</v>
      </c>
      <c r="I46" s="30">
        <f t="shared" ref="I46:N55" si="34">N(0)</f>
        <v>0</v>
      </c>
      <c r="J46" s="30">
        <f t="shared" si="34"/>
        <v>0</v>
      </c>
      <c r="K46" s="30">
        <f>N(1929971.04)</f>
        <v>1929971.04</v>
      </c>
      <c r="L46" s="30">
        <f t="shared" ref="L46:N50" si="35">N(0)</f>
        <v>0</v>
      </c>
      <c r="M46" s="30">
        <f>N(892022.08)</f>
        <v>892022.08</v>
      </c>
      <c r="N46" s="30">
        <f>N(1180887.23)</f>
        <v>1180887.23</v>
      </c>
      <c r="O46" s="30">
        <f t="shared" ref="O46:O55" si="36">N(0)</f>
        <v>0</v>
      </c>
      <c r="P46" s="169">
        <f>SUM(D46:O46)</f>
        <v>9938101.8499999996</v>
      </c>
    </row>
    <row r="47" spans="1:16" hidden="1" outlineLevel="2">
      <c r="A47" s="22"/>
      <c r="B47" s="28">
        <v>5001</v>
      </c>
      <c r="C47" s="29" t="s">
        <v>85</v>
      </c>
      <c r="D47" s="30">
        <f>N(43560)</f>
        <v>43560</v>
      </c>
      <c r="E47" s="30">
        <f t="shared" ref="E47:F49" si="37">N(0)</f>
        <v>0</v>
      </c>
      <c r="F47" s="30">
        <f t="shared" si="37"/>
        <v>0</v>
      </c>
      <c r="G47" s="30">
        <f t="shared" si="33"/>
        <v>0</v>
      </c>
      <c r="H47" s="30">
        <f t="shared" si="33"/>
        <v>0</v>
      </c>
      <c r="I47" s="30">
        <f t="shared" si="34"/>
        <v>0</v>
      </c>
      <c r="J47" s="30">
        <f t="shared" si="34"/>
        <v>0</v>
      </c>
      <c r="K47" s="30">
        <f t="shared" si="34"/>
        <v>0</v>
      </c>
      <c r="L47" s="30">
        <f t="shared" si="35"/>
        <v>0</v>
      </c>
      <c r="M47" s="30">
        <f t="shared" si="35"/>
        <v>0</v>
      </c>
      <c r="N47" s="30">
        <f t="shared" si="35"/>
        <v>0</v>
      </c>
      <c r="O47" s="30">
        <f t="shared" si="36"/>
        <v>0</v>
      </c>
      <c r="P47" s="169">
        <f>SUM(D47:O47)</f>
        <v>43560</v>
      </c>
    </row>
    <row r="48" spans="1:16" hidden="1" outlineLevel="2">
      <c r="A48" s="22"/>
      <c r="B48" s="28">
        <v>5002</v>
      </c>
      <c r="C48" s="29" t="s">
        <v>86</v>
      </c>
      <c r="D48" s="30">
        <f>N(3111652.59)</f>
        <v>3111652.59</v>
      </c>
      <c r="E48" s="30">
        <f t="shared" si="37"/>
        <v>0</v>
      </c>
      <c r="F48" s="30">
        <f t="shared" si="37"/>
        <v>0</v>
      </c>
      <c r="G48" s="30">
        <f t="shared" si="33"/>
        <v>0</v>
      </c>
      <c r="H48" s="30">
        <f t="shared" si="33"/>
        <v>0</v>
      </c>
      <c r="I48" s="30">
        <f t="shared" si="34"/>
        <v>0</v>
      </c>
      <c r="J48" s="30">
        <f t="shared" si="34"/>
        <v>0</v>
      </c>
      <c r="K48" s="30">
        <f t="shared" si="34"/>
        <v>0</v>
      </c>
      <c r="L48" s="30">
        <f t="shared" si="35"/>
        <v>0</v>
      </c>
      <c r="M48" s="30">
        <f t="shared" si="35"/>
        <v>0</v>
      </c>
      <c r="N48" s="30">
        <f t="shared" si="35"/>
        <v>0</v>
      </c>
      <c r="O48" s="30">
        <f t="shared" si="36"/>
        <v>0</v>
      </c>
      <c r="P48" s="169">
        <f>SUM(D48:O48)</f>
        <v>3111652.59</v>
      </c>
    </row>
    <row r="49" spans="1:16" hidden="1" outlineLevel="2">
      <c r="A49" s="22"/>
      <c r="B49" s="28">
        <v>5007</v>
      </c>
      <c r="C49" s="29" t="s">
        <v>89</v>
      </c>
      <c r="D49" s="30">
        <f>N(14520.66)</f>
        <v>14520.66</v>
      </c>
      <c r="E49" s="30">
        <f t="shared" si="37"/>
        <v>0</v>
      </c>
      <c r="F49" s="30">
        <f t="shared" si="37"/>
        <v>0</v>
      </c>
      <c r="G49" s="30">
        <f t="shared" si="33"/>
        <v>0</v>
      </c>
      <c r="H49" s="30">
        <f t="shared" si="33"/>
        <v>0</v>
      </c>
      <c r="I49" s="30">
        <f t="shared" si="34"/>
        <v>0</v>
      </c>
      <c r="J49" s="30">
        <f t="shared" si="34"/>
        <v>0</v>
      </c>
      <c r="K49" s="30">
        <f t="shared" si="34"/>
        <v>0</v>
      </c>
      <c r="L49" s="30">
        <f t="shared" si="35"/>
        <v>0</v>
      </c>
      <c r="M49" s="30">
        <f t="shared" si="35"/>
        <v>0</v>
      </c>
      <c r="N49" s="30">
        <f t="shared" si="35"/>
        <v>0</v>
      </c>
      <c r="O49" s="30">
        <f t="shared" si="36"/>
        <v>0</v>
      </c>
      <c r="P49" s="169">
        <f>SUM(D49:O49)</f>
        <v>14520.66</v>
      </c>
    </row>
    <row r="50" spans="1:16" hidden="1" outlineLevel="2">
      <c r="A50" s="22"/>
      <c r="B50" s="28">
        <v>5010</v>
      </c>
      <c r="C50" s="29" t="s">
        <v>92</v>
      </c>
      <c r="D50" s="30">
        <f>N(646148.29)</f>
        <v>646148.29</v>
      </c>
      <c r="E50" s="30">
        <f>N(445108.69)</f>
        <v>445108.69</v>
      </c>
      <c r="F50" s="30">
        <f>N(31035.2)</f>
        <v>31035.200000000001</v>
      </c>
      <c r="G50" s="30">
        <f t="shared" si="33"/>
        <v>0</v>
      </c>
      <c r="H50" s="30">
        <f>N(14189.7)</f>
        <v>14189.7</v>
      </c>
      <c r="I50" s="30">
        <f t="shared" si="34"/>
        <v>0</v>
      </c>
      <c r="J50" s="30">
        <f t="shared" si="34"/>
        <v>0</v>
      </c>
      <c r="K50" s="30">
        <f>N(253189.56)</f>
        <v>253189.56</v>
      </c>
      <c r="L50" s="30">
        <f t="shared" si="35"/>
        <v>0</v>
      </c>
      <c r="M50" s="30">
        <f>N(107321.53)</f>
        <v>107321.53</v>
      </c>
      <c r="N50" s="30">
        <f>N(178908.23)</f>
        <v>178908.23</v>
      </c>
      <c r="O50" s="30">
        <f t="shared" si="36"/>
        <v>0</v>
      </c>
      <c r="P50" s="169">
        <f>SUM(D50:O50)</f>
        <v>1675901.2</v>
      </c>
    </row>
    <row r="51" spans="1:16" hidden="1" outlineLevel="2">
      <c r="A51" s="22"/>
      <c r="B51" s="28">
        <v>5021</v>
      </c>
      <c r="C51" s="29" t="s">
        <v>93</v>
      </c>
      <c r="D51" s="30">
        <f t="shared" ref="D51:F54" si="38">N(0)</f>
        <v>0</v>
      </c>
      <c r="E51" s="30">
        <f t="shared" si="38"/>
        <v>0</v>
      </c>
      <c r="F51" s="30">
        <f t="shared" si="38"/>
        <v>0</v>
      </c>
      <c r="G51" s="30">
        <f t="shared" si="33"/>
        <v>0</v>
      </c>
      <c r="H51" s="30">
        <f t="shared" si="33"/>
        <v>0</v>
      </c>
      <c r="I51" s="30">
        <f t="shared" si="34"/>
        <v>0</v>
      </c>
      <c r="J51" s="30">
        <f t="shared" si="34"/>
        <v>0</v>
      </c>
      <c r="K51" s="30">
        <f t="shared" si="34"/>
        <v>0</v>
      </c>
      <c r="L51" s="30">
        <f>N(97154.81)</f>
        <v>97154.81</v>
      </c>
      <c r="M51" s="30">
        <f t="shared" ref="M51:N52" si="39">N(0)</f>
        <v>0</v>
      </c>
      <c r="N51" s="30">
        <f t="shared" si="39"/>
        <v>0</v>
      </c>
      <c r="O51" s="30">
        <f t="shared" si="36"/>
        <v>0</v>
      </c>
      <c r="P51" s="169">
        <f>SUM(D51:O51)</f>
        <v>97154.81</v>
      </c>
    </row>
    <row r="52" spans="1:16" hidden="1" outlineLevel="2">
      <c r="A52" s="22"/>
      <c r="B52" s="28">
        <v>5110</v>
      </c>
      <c r="C52" s="29" t="s">
        <v>94</v>
      </c>
      <c r="D52" s="30">
        <f t="shared" si="38"/>
        <v>0</v>
      </c>
      <c r="E52" s="30">
        <f>N(2300)</f>
        <v>2300</v>
      </c>
      <c r="F52" s="30">
        <f>N(0)</f>
        <v>0</v>
      </c>
      <c r="G52" s="30">
        <f t="shared" si="33"/>
        <v>0</v>
      </c>
      <c r="H52" s="30">
        <f t="shared" si="33"/>
        <v>0</v>
      </c>
      <c r="I52" s="30">
        <f t="shared" si="34"/>
        <v>0</v>
      </c>
      <c r="J52" s="30">
        <f t="shared" si="34"/>
        <v>0</v>
      </c>
      <c r="K52" s="30">
        <f t="shared" si="34"/>
        <v>0</v>
      </c>
      <c r="L52" s="30">
        <f t="shared" si="34"/>
        <v>0</v>
      </c>
      <c r="M52" s="30">
        <f t="shared" si="39"/>
        <v>0</v>
      </c>
      <c r="N52" s="30">
        <f t="shared" si="39"/>
        <v>0</v>
      </c>
      <c r="O52" s="30">
        <f t="shared" si="36"/>
        <v>0</v>
      </c>
      <c r="P52" s="169">
        <f>SUM(D52:O52)</f>
        <v>2300</v>
      </c>
    </row>
    <row r="53" spans="1:16" hidden="1" outlineLevel="2">
      <c r="A53" s="22"/>
      <c r="B53" s="28">
        <v>5111</v>
      </c>
      <c r="C53" s="29" t="s">
        <v>95</v>
      </c>
      <c r="D53" s="30">
        <f t="shared" si="38"/>
        <v>0</v>
      </c>
      <c r="E53" s="30">
        <f t="shared" ref="E53:F53" si="40">N(1000)</f>
        <v>1000</v>
      </c>
      <c r="F53" s="30">
        <f t="shared" si="40"/>
        <v>1000</v>
      </c>
      <c r="G53" s="30">
        <f t="shared" si="33"/>
        <v>0</v>
      </c>
      <c r="H53" s="30">
        <f>N(20500)</f>
        <v>20500</v>
      </c>
      <c r="I53" s="30">
        <f t="shared" si="34"/>
        <v>0</v>
      </c>
      <c r="J53" s="30">
        <f t="shared" si="34"/>
        <v>0</v>
      </c>
      <c r="K53" s="30">
        <f>N(-2000)</f>
        <v>-2000</v>
      </c>
      <c r="L53" s="30">
        <f t="shared" si="34"/>
        <v>0</v>
      </c>
      <c r="M53" s="30">
        <f>N(82485.4)</f>
        <v>82485.399999999994</v>
      </c>
      <c r="N53" s="30">
        <f>N(46480)</f>
        <v>46480</v>
      </c>
      <c r="O53" s="30">
        <f t="shared" si="36"/>
        <v>0</v>
      </c>
      <c r="P53" s="169">
        <f>SUM(D53:O53)</f>
        <v>149465.4</v>
      </c>
    </row>
    <row r="54" spans="1:16" hidden="1" outlineLevel="2">
      <c r="A54" s="22"/>
      <c r="B54" s="28">
        <v>5113</v>
      </c>
      <c r="C54" s="29" t="s">
        <v>97</v>
      </c>
      <c r="D54" s="30">
        <f t="shared" si="38"/>
        <v>0</v>
      </c>
      <c r="E54" s="30">
        <f t="shared" si="38"/>
        <v>0</v>
      </c>
      <c r="F54" s="30">
        <f t="shared" si="38"/>
        <v>0</v>
      </c>
      <c r="G54" s="30">
        <f t="shared" si="33"/>
        <v>0</v>
      </c>
      <c r="H54" s="30">
        <f t="shared" si="33"/>
        <v>0</v>
      </c>
      <c r="I54" s="30">
        <f t="shared" si="34"/>
        <v>0</v>
      </c>
      <c r="J54" s="30">
        <f t="shared" si="34"/>
        <v>0</v>
      </c>
      <c r="K54" s="30">
        <f t="shared" si="34"/>
        <v>0</v>
      </c>
      <c r="L54" s="30">
        <f t="shared" si="34"/>
        <v>0</v>
      </c>
      <c r="M54" s="30">
        <f t="shared" si="34"/>
        <v>0</v>
      </c>
      <c r="N54" s="30">
        <f t="shared" si="34"/>
        <v>0</v>
      </c>
      <c r="O54" s="30">
        <f t="shared" si="36"/>
        <v>0</v>
      </c>
      <c r="P54" s="169">
        <f>SUM(D54:O54)</f>
        <v>0</v>
      </c>
    </row>
    <row r="55" spans="1:16" hidden="1" outlineLevel="2">
      <c r="A55" s="22"/>
      <c r="B55" s="28">
        <v>5190</v>
      </c>
      <c r="C55" s="29" t="s">
        <v>99</v>
      </c>
      <c r="D55" s="30">
        <f>N(19426)</f>
        <v>19426</v>
      </c>
      <c r="E55" s="30">
        <f>N(88479)</f>
        <v>88479</v>
      </c>
      <c r="F55" s="30">
        <f>N(0)</f>
        <v>0</v>
      </c>
      <c r="G55" s="30">
        <f t="shared" si="33"/>
        <v>0</v>
      </c>
      <c r="H55" s="30">
        <f t="shared" si="33"/>
        <v>0</v>
      </c>
      <c r="I55" s="30">
        <f t="shared" si="34"/>
        <v>0</v>
      </c>
      <c r="J55" s="30">
        <f t="shared" si="34"/>
        <v>0</v>
      </c>
      <c r="K55" s="30">
        <f t="shared" si="34"/>
        <v>0</v>
      </c>
      <c r="L55" s="30">
        <f t="shared" si="34"/>
        <v>0</v>
      </c>
      <c r="M55" s="30">
        <f>N(2324)</f>
        <v>2324</v>
      </c>
      <c r="N55" s="30">
        <f>N(270250)</f>
        <v>270250</v>
      </c>
      <c r="O55" s="30">
        <f t="shared" si="36"/>
        <v>0</v>
      </c>
      <c r="P55" s="169">
        <f>SUM(D55:O55)</f>
        <v>380479</v>
      </c>
    </row>
    <row r="56" spans="1:16" outlineLevel="1" collapsed="1">
      <c r="A56" s="22"/>
      <c r="B56" s="35" t="str">
        <f>"    "&amp;"Lønn til ansatte"</f>
        <v xml:space="preserve">    Lønn til ansatte</v>
      </c>
      <c r="C56" s="36"/>
      <c r="D56" s="33">
        <f t="shared" ref="D56:P56" si="41">SUM(D46:D55)</f>
        <v>5888631.2400000002</v>
      </c>
      <c r="E56" s="33">
        <f t="shared" si="41"/>
        <v>4041911.33</v>
      </c>
      <c r="F56" s="33">
        <f t="shared" si="41"/>
        <v>290661.88</v>
      </c>
      <c r="G56" s="33">
        <f t="shared" si="41"/>
        <v>0</v>
      </c>
      <c r="H56" s="33">
        <f t="shared" si="41"/>
        <v>152937.18</v>
      </c>
      <c r="I56" s="33">
        <f t="shared" si="41"/>
        <v>0</v>
      </c>
      <c r="J56" s="33">
        <f t="shared" si="41"/>
        <v>0</v>
      </c>
      <c r="K56" s="33">
        <f t="shared" si="41"/>
        <v>2181160.6</v>
      </c>
      <c r="L56" s="33">
        <f t="shared" si="41"/>
        <v>97154.81</v>
      </c>
      <c r="M56" s="33">
        <f t="shared" si="41"/>
        <v>1084153.01</v>
      </c>
      <c r="N56" s="33">
        <f t="shared" si="41"/>
        <v>1676525.46</v>
      </c>
      <c r="O56" s="33">
        <f t="shared" si="41"/>
        <v>0</v>
      </c>
      <c r="P56" s="170">
        <f t="shared" si="41"/>
        <v>15413135.51</v>
      </c>
    </row>
    <row r="57" spans="1:16" hidden="1" outlineLevel="2">
      <c r="A57" s="22"/>
      <c r="B57" s="28">
        <v>5210</v>
      </c>
      <c r="C57" s="29" t="s">
        <v>100</v>
      </c>
      <c r="D57" s="30">
        <f>N(8784)</f>
        <v>8784</v>
      </c>
      <c r="E57" s="30">
        <f>N(25400.4)</f>
        <v>25400.400000000001</v>
      </c>
      <c r="F57" s="30">
        <f t="shared" ref="F57:K62" si="42">N(0)</f>
        <v>0</v>
      </c>
      <c r="G57" s="30">
        <f t="shared" si="42"/>
        <v>0</v>
      </c>
      <c r="H57" s="30">
        <f t="shared" si="42"/>
        <v>0</v>
      </c>
      <c r="I57" s="30">
        <f t="shared" si="42"/>
        <v>0</v>
      </c>
      <c r="J57" s="30">
        <f t="shared" si="42"/>
        <v>0</v>
      </c>
      <c r="K57" s="30">
        <f>N(8784)</f>
        <v>8784</v>
      </c>
      <c r="L57" s="30">
        <f t="shared" ref="L57:N62" si="43">N(0)</f>
        <v>0</v>
      </c>
      <c r="M57" s="30">
        <f>N(585.6)</f>
        <v>585.6</v>
      </c>
      <c r="N57" s="30">
        <f>N(8052)</f>
        <v>8052</v>
      </c>
      <c r="O57" s="30">
        <f t="shared" ref="O57:O62" si="44">N(0)</f>
        <v>0</v>
      </c>
      <c r="P57" s="169">
        <f>SUM(D57:O57)</f>
        <v>51606</v>
      </c>
    </row>
    <row r="58" spans="1:16" hidden="1" outlineLevel="2">
      <c r="A58" s="22"/>
      <c r="B58" s="28">
        <v>5281</v>
      </c>
      <c r="C58" s="29" t="s">
        <v>107</v>
      </c>
      <c r="D58" s="30">
        <f>N(1976)</f>
        <v>1976</v>
      </c>
      <c r="E58" s="30">
        <f t="shared" ref="E58:E59" si="45">N(0)</f>
        <v>0</v>
      </c>
      <c r="F58" s="30">
        <f t="shared" si="42"/>
        <v>0</v>
      </c>
      <c r="G58" s="30">
        <f t="shared" si="42"/>
        <v>0</v>
      </c>
      <c r="H58" s="30">
        <f t="shared" si="42"/>
        <v>0</v>
      </c>
      <c r="I58" s="30">
        <f t="shared" si="42"/>
        <v>0</v>
      </c>
      <c r="J58" s="30">
        <f t="shared" si="42"/>
        <v>0</v>
      </c>
      <c r="K58" s="30">
        <f t="shared" si="42"/>
        <v>0</v>
      </c>
      <c r="L58" s="30">
        <f t="shared" si="43"/>
        <v>0</v>
      </c>
      <c r="M58" s="30">
        <f t="shared" si="43"/>
        <v>0</v>
      </c>
      <c r="N58" s="30">
        <f>N(6000)</f>
        <v>6000</v>
      </c>
      <c r="O58" s="30">
        <f t="shared" si="44"/>
        <v>0</v>
      </c>
      <c r="P58" s="169">
        <f>SUM(D58:O58)</f>
        <v>7976</v>
      </c>
    </row>
    <row r="59" spans="1:16" hidden="1" outlineLevel="2">
      <c r="A59" s="22"/>
      <c r="B59" s="28">
        <v>5285</v>
      </c>
      <c r="C59" s="29" t="s">
        <v>108</v>
      </c>
      <c r="D59" s="30">
        <f>N(77913)</f>
        <v>77913</v>
      </c>
      <c r="E59" s="30">
        <f t="shared" si="45"/>
        <v>0</v>
      </c>
      <c r="F59" s="30">
        <f t="shared" si="42"/>
        <v>0</v>
      </c>
      <c r="G59" s="30">
        <f t="shared" si="42"/>
        <v>0</v>
      </c>
      <c r="H59" s="30">
        <f t="shared" si="42"/>
        <v>0</v>
      </c>
      <c r="I59" s="30">
        <f t="shared" si="42"/>
        <v>0</v>
      </c>
      <c r="J59" s="30">
        <f t="shared" si="42"/>
        <v>0</v>
      </c>
      <c r="K59" s="30">
        <f t="shared" si="42"/>
        <v>0</v>
      </c>
      <c r="L59" s="30">
        <f t="shared" si="43"/>
        <v>0</v>
      </c>
      <c r="M59" s="30">
        <f t="shared" si="43"/>
        <v>0</v>
      </c>
      <c r="N59" s="30">
        <f>N(0)</f>
        <v>0</v>
      </c>
      <c r="O59" s="30">
        <f t="shared" si="44"/>
        <v>0</v>
      </c>
      <c r="P59" s="169">
        <f>SUM(D59:O59)</f>
        <v>77913</v>
      </c>
    </row>
    <row r="60" spans="1:16" hidden="1" outlineLevel="2">
      <c r="A60" s="22"/>
      <c r="B60" s="28">
        <v>5290</v>
      </c>
      <c r="C60" s="29" t="s">
        <v>110</v>
      </c>
      <c r="D60" s="30">
        <f>N(-94183.81)</f>
        <v>-94183.81</v>
      </c>
      <c r="E60" s="30">
        <f>N(-456019.79)</f>
        <v>-456019.79</v>
      </c>
      <c r="F60" s="30">
        <f t="shared" si="42"/>
        <v>0</v>
      </c>
      <c r="G60" s="30">
        <f t="shared" si="42"/>
        <v>0</v>
      </c>
      <c r="H60" s="30">
        <f t="shared" si="42"/>
        <v>0</v>
      </c>
      <c r="I60" s="30">
        <f t="shared" si="42"/>
        <v>0</v>
      </c>
      <c r="J60" s="30">
        <f t="shared" si="42"/>
        <v>0</v>
      </c>
      <c r="K60" s="30">
        <f>N(-8784)</f>
        <v>-8784</v>
      </c>
      <c r="L60" s="30">
        <f t="shared" si="43"/>
        <v>0</v>
      </c>
      <c r="M60" s="30">
        <f>N(-585.6)</f>
        <v>-585.6</v>
      </c>
      <c r="N60" s="30">
        <f>N(-14052)</f>
        <v>-14052</v>
      </c>
      <c r="O60" s="30">
        <f t="shared" si="44"/>
        <v>0</v>
      </c>
      <c r="P60" s="169">
        <f>SUM(D60:O60)</f>
        <v>-573625.19999999995</v>
      </c>
    </row>
    <row r="61" spans="1:16" hidden="1" outlineLevel="2">
      <c r="A61" s="22"/>
      <c r="B61" s="28">
        <v>5420</v>
      </c>
      <c r="C61" s="29" t="s">
        <v>111</v>
      </c>
      <c r="D61" s="30">
        <f>N(255699.17)</f>
        <v>255699.17</v>
      </c>
      <c r="E61" s="30">
        <f>N(743060.2)</f>
        <v>743060.2</v>
      </c>
      <c r="F61" s="30">
        <f t="shared" si="42"/>
        <v>0</v>
      </c>
      <c r="G61" s="30">
        <f t="shared" si="42"/>
        <v>0</v>
      </c>
      <c r="H61" s="30">
        <f t="shared" si="42"/>
        <v>0</v>
      </c>
      <c r="I61" s="30">
        <f t="shared" si="42"/>
        <v>0</v>
      </c>
      <c r="J61" s="30">
        <f t="shared" si="42"/>
        <v>0</v>
      </c>
      <c r="K61" s="30">
        <f t="shared" si="42"/>
        <v>0</v>
      </c>
      <c r="L61" s="30">
        <f t="shared" si="43"/>
        <v>0</v>
      </c>
      <c r="M61" s="30">
        <f t="shared" si="43"/>
        <v>0</v>
      </c>
      <c r="N61" s="30">
        <f t="shared" si="43"/>
        <v>0</v>
      </c>
      <c r="O61" s="30">
        <f t="shared" si="44"/>
        <v>0</v>
      </c>
      <c r="P61" s="169">
        <f>SUM(D61:O61)</f>
        <v>998759.37</v>
      </c>
    </row>
    <row r="62" spans="1:16" hidden="1" outlineLevel="2">
      <c r="A62" s="22"/>
      <c r="B62" s="28">
        <v>5490</v>
      </c>
      <c r="C62" s="29" t="s">
        <v>112</v>
      </c>
      <c r="D62" s="30">
        <f>N(-172433.36)</f>
        <v>-172433.36</v>
      </c>
      <c r="E62" s="30">
        <f>N(-312440.81)</f>
        <v>-312440.81</v>
      </c>
      <c r="F62" s="30">
        <f t="shared" si="42"/>
        <v>0</v>
      </c>
      <c r="G62" s="30">
        <f t="shared" si="42"/>
        <v>0</v>
      </c>
      <c r="H62" s="30">
        <f t="shared" si="42"/>
        <v>0</v>
      </c>
      <c r="I62" s="30">
        <f t="shared" si="42"/>
        <v>0</v>
      </c>
      <c r="J62" s="30">
        <f t="shared" si="42"/>
        <v>0</v>
      </c>
      <c r="K62" s="30">
        <f t="shared" si="42"/>
        <v>0</v>
      </c>
      <c r="L62" s="30">
        <f t="shared" si="43"/>
        <v>0</v>
      </c>
      <c r="M62" s="30">
        <f t="shared" si="43"/>
        <v>0</v>
      </c>
      <c r="N62" s="30">
        <f t="shared" si="43"/>
        <v>0</v>
      </c>
      <c r="O62" s="30">
        <f t="shared" si="44"/>
        <v>0</v>
      </c>
      <c r="P62" s="169">
        <f>SUM(D62:O62)</f>
        <v>-484874.17</v>
      </c>
    </row>
    <row r="63" spans="1:16" outlineLevel="1" collapsed="1">
      <c r="A63" s="22"/>
      <c r="B63" s="35" t="str">
        <f>"    "&amp;"Fordel i arbeidsforhold"</f>
        <v xml:space="preserve">    Fordel i arbeidsforhold</v>
      </c>
      <c r="C63" s="36"/>
      <c r="D63" s="33">
        <f t="shared" ref="D63:P63" si="46">SUM(D57:D62)</f>
        <v>77755.000000000029</v>
      </c>
      <c r="E63" s="33">
        <f t="shared" si="46"/>
        <v>0</v>
      </c>
      <c r="F63" s="33">
        <f t="shared" si="46"/>
        <v>0</v>
      </c>
      <c r="G63" s="33">
        <f t="shared" si="46"/>
        <v>0</v>
      </c>
      <c r="H63" s="33">
        <f t="shared" si="46"/>
        <v>0</v>
      </c>
      <c r="I63" s="33">
        <f t="shared" si="46"/>
        <v>0</v>
      </c>
      <c r="J63" s="33">
        <f t="shared" si="46"/>
        <v>0</v>
      </c>
      <c r="K63" s="33">
        <f t="shared" si="46"/>
        <v>0</v>
      </c>
      <c r="L63" s="33">
        <f t="shared" si="46"/>
        <v>0</v>
      </c>
      <c r="M63" s="33">
        <f t="shared" si="46"/>
        <v>0</v>
      </c>
      <c r="N63" s="33">
        <f t="shared" si="46"/>
        <v>0</v>
      </c>
      <c r="O63" s="33">
        <f t="shared" si="46"/>
        <v>0</v>
      </c>
      <c r="P63" s="170">
        <f t="shared" si="46"/>
        <v>77755.000000000058</v>
      </c>
    </row>
    <row r="64" spans="1:16" hidden="1" outlineLevel="2">
      <c r="A64" s="22"/>
      <c r="B64" s="28">
        <v>5312</v>
      </c>
      <c r="C64" s="29" t="s">
        <v>113</v>
      </c>
      <c r="D64" s="30">
        <f>N(61643.85)</f>
        <v>61643.85</v>
      </c>
      <c r="E64" s="30">
        <f>N(40061.47)</f>
        <v>40061.47</v>
      </c>
      <c r="F64" s="30">
        <f>N(2542.71)</f>
        <v>2542.71</v>
      </c>
      <c r="G64" s="30">
        <f t="shared" ref="G64:H66" si="47">N(0)</f>
        <v>0</v>
      </c>
      <c r="H64" s="30">
        <f>N(4414.15)</f>
        <v>4414.1499999999996</v>
      </c>
      <c r="I64" s="30">
        <f t="shared" ref="I64:K66" si="48">N(0)</f>
        <v>0</v>
      </c>
      <c r="J64" s="30">
        <f t="shared" si="48"/>
        <v>0</v>
      </c>
      <c r="K64" s="30">
        <f>N(17068.2)</f>
        <v>17068.2</v>
      </c>
      <c r="L64" s="30">
        <f t="shared" ref="L64:N66" si="49">N(0)</f>
        <v>0</v>
      </c>
      <c r="M64" s="30">
        <f>N(8560.13)</f>
        <v>8560.1299999999992</v>
      </c>
      <c r="N64" s="30">
        <f>N(24049.2)</f>
        <v>24049.200000000001</v>
      </c>
      <c r="O64" s="30">
        <f t="shared" ref="O64:O66" si="50">N(0)</f>
        <v>0</v>
      </c>
      <c r="P64" s="169">
        <f>SUM(D64:O64)</f>
        <v>158339.71000000002</v>
      </c>
    </row>
    <row r="65" spans="1:16" hidden="1" outlineLevel="2">
      <c r="A65" s="22"/>
      <c r="B65" s="28">
        <v>5326</v>
      </c>
      <c r="C65" s="29" t="s">
        <v>114</v>
      </c>
      <c r="D65" s="30">
        <f>N(136327)</f>
        <v>136327</v>
      </c>
      <c r="E65" s="30">
        <f t="shared" ref="E65:F66" si="51">N(0)</f>
        <v>0</v>
      </c>
      <c r="F65" s="30">
        <f t="shared" si="51"/>
        <v>0</v>
      </c>
      <c r="G65" s="30">
        <f t="shared" si="47"/>
        <v>0</v>
      </c>
      <c r="H65" s="30">
        <f t="shared" si="47"/>
        <v>0</v>
      </c>
      <c r="I65" s="30">
        <f t="shared" si="48"/>
        <v>0</v>
      </c>
      <c r="J65" s="30">
        <f t="shared" si="48"/>
        <v>0</v>
      </c>
      <c r="K65" s="30">
        <f t="shared" si="48"/>
        <v>0</v>
      </c>
      <c r="L65" s="30">
        <f t="shared" si="49"/>
        <v>0</v>
      </c>
      <c r="M65" s="30">
        <f t="shared" si="49"/>
        <v>0</v>
      </c>
      <c r="N65" s="30">
        <f t="shared" si="49"/>
        <v>0</v>
      </c>
      <c r="O65" s="30">
        <f t="shared" si="50"/>
        <v>0</v>
      </c>
      <c r="P65" s="169">
        <f>SUM(D65:O65)</f>
        <v>136327</v>
      </c>
    </row>
    <row r="66" spans="1:16" hidden="1" outlineLevel="2">
      <c r="A66" s="22"/>
      <c r="B66" s="28">
        <v>5391</v>
      </c>
      <c r="C66" s="29" t="s">
        <v>115</v>
      </c>
      <c r="D66" s="30">
        <f>N(0)</f>
        <v>0</v>
      </c>
      <c r="E66" s="30">
        <f t="shared" si="51"/>
        <v>0</v>
      </c>
      <c r="F66" s="30">
        <f t="shared" si="51"/>
        <v>0</v>
      </c>
      <c r="G66" s="30">
        <f t="shared" si="47"/>
        <v>0</v>
      </c>
      <c r="H66" s="30">
        <f t="shared" si="47"/>
        <v>0</v>
      </c>
      <c r="I66" s="30">
        <f t="shared" si="48"/>
        <v>0</v>
      </c>
      <c r="J66" s="30">
        <f t="shared" si="48"/>
        <v>0</v>
      </c>
      <c r="K66" s="30">
        <f t="shared" si="48"/>
        <v>0</v>
      </c>
      <c r="L66" s="30">
        <f t="shared" si="49"/>
        <v>0</v>
      </c>
      <c r="M66" s="30">
        <f>N(15000)</f>
        <v>15000</v>
      </c>
      <c r="N66" s="30">
        <f>N(0)</f>
        <v>0</v>
      </c>
      <c r="O66" s="30">
        <f t="shared" si="50"/>
        <v>0</v>
      </c>
      <c r="P66" s="169">
        <f>SUM(D66:O66)</f>
        <v>15000</v>
      </c>
    </row>
    <row r="67" spans="1:16" outlineLevel="1" collapsed="1">
      <c r="A67" s="22"/>
      <c r="B67" s="35" t="str">
        <f>"    "&amp;"Annen oppgavepliktig godtgjørelse"</f>
        <v xml:space="preserve">    Annen oppgavepliktig godtgjørelse</v>
      </c>
      <c r="C67" s="36"/>
      <c r="D67" s="33">
        <f t="shared" ref="D67:P67" si="52">SUM(D64:D66)</f>
        <v>197970.85</v>
      </c>
      <c r="E67" s="33">
        <f t="shared" si="52"/>
        <v>40061.47</v>
      </c>
      <c r="F67" s="33">
        <f t="shared" si="52"/>
        <v>2542.71</v>
      </c>
      <c r="G67" s="33">
        <f t="shared" si="52"/>
        <v>0</v>
      </c>
      <c r="H67" s="33">
        <f t="shared" si="52"/>
        <v>4414.1499999999996</v>
      </c>
      <c r="I67" s="33">
        <f t="shared" si="52"/>
        <v>0</v>
      </c>
      <c r="J67" s="33">
        <f t="shared" si="52"/>
        <v>0</v>
      </c>
      <c r="K67" s="33">
        <f t="shared" si="52"/>
        <v>17068.2</v>
      </c>
      <c r="L67" s="33">
        <f t="shared" si="52"/>
        <v>0</v>
      </c>
      <c r="M67" s="33">
        <f t="shared" si="52"/>
        <v>23560.129999999997</v>
      </c>
      <c r="N67" s="33">
        <f t="shared" si="52"/>
        <v>24049.200000000001</v>
      </c>
      <c r="O67" s="33">
        <f t="shared" si="52"/>
        <v>0</v>
      </c>
      <c r="P67" s="170">
        <f t="shared" si="52"/>
        <v>309666.71000000002</v>
      </c>
    </row>
    <row r="68" spans="1:16" hidden="1" outlineLevel="2">
      <c r="A68" s="22"/>
      <c r="B68" s="28">
        <v>5400</v>
      </c>
      <c r="C68" s="29" t="s">
        <v>116</v>
      </c>
      <c r="D68" s="30">
        <f>N(333388.67)</f>
        <v>333388.67</v>
      </c>
      <c r="E68" s="30">
        <f>N(603338.09)</f>
        <v>603338.09</v>
      </c>
      <c r="F68" s="30">
        <f>N(36607.36)</f>
        <v>36607.360000000001</v>
      </c>
      <c r="G68" s="30">
        <f t="shared" ref="G68:G69" si="53">N(0)</f>
        <v>0</v>
      </c>
      <c r="H68" s="30">
        <f>N(19563.39)</f>
        <v>19563.39</v>
      </c>
      <c r="I68" s="30">
        <f t="shared" ref="I68:J69" si="54">N(0)</f>
        <v>0</v>
      </c>
      <c r="J68" s="30">
        <f t="shared" si="54"/>
        <v>0</v>
      </c>
      <c r="K68" s="30">
        <f>N(273364.65)</f>
        <v>273364.65000000002</v>
      </c>
      <c r="L68" s="30">
        <f>N(0.01)</f>
        <v>0.01</v>
      </c>
      <c r="M68" s="30">
        <f>N(142109.62)</f>
        <v>142109.62</v>
      </c>
      <c r="N68" s="30">
        <f>N(174758.31)</f>
        <v>174758.31</v>
      </c>
      <c r="O68" s="30">
        <f t="shared" ref="O68:O69" si="55">N(0)</f>
        <v>0</v>
      </c>
      <c r="P68" s="169">
        <f>SUM(D68:O68)</f>
        <v>1583130.1</v>
      </c>
    </row>
    <row r="69" spans="1:16" hidden="1" outlineLevel="2">
      <c r="A69" s="22"/>
      <c r="B69" s="28">
        <v>5410</v>
      </c>
      <c r="C69" s="29" t="s">
        <v>117</v>
      </c>
      <c r="D69" s="30">
        <f>N(38457.3)</f>
        <v>38457.300000000003</v>
      </c>
      <c r="E69" s="30">
        <f>N(62760.4)</f>
        <v>62760.4</v>
      </c>
      <c r="F69" s="30">
        <f>N(4376.01)</f>
        <v>4376.01</v>
      </c>
      <c r="G69" s="30">
        <f t="shared" si="53"/>
        <v>0</v>
      </c>
      <c r="H69" s="30">
        <f>N(2000.79)</f>
        <v>2000.79</v>
      </c>
      <c r="I69" s="30">
        <f t="shared" si="54"/>
        <v>0</v>
      </c>
      <c r="J69" s="30">
        <f t="shared" si="54"/>
        <v>0</v>
      </c>
      <c r="K69" s="30">
        <f>N(35699.82)</f>
        <v>35699.82</v>
      </c>
      <c r="L69" s="30">
        <f>N(0)</f>
        <v>0</v>
      </c>
      <c r="M69" s="30">
        <f>N(15132.39)</f>
        <v>15132.39</v>
      </c>
      <c r="N69" s="30">
        <f>N(25226.13)</f>
        <v>25226.13</v>
      </c>
      <c r="O69" s="30">
        <f t="shared" si="55"/>
        <v>0</v>
      </c>
      <c r="P69" s="169">
        <f>SUM(D69:O69)</f>
        <v>183652.84000000003</v>
      </c>
    </row>
    <row r="70" spans="1:16" outlineLevel="1" collapsed="1">
      <c r="A70" s="22"/>
      <c r="B70" s="35" t="str">
        <f>"    "&amp;"Arbeidsgiveravgift og pensjonskostnad"</f>
        <v xml:space="preserve">    Arbeidsgiveravgift og pensjonskostnad</v>
      </c>
      <c r="C70" s="36"/>
      <c r="D70" s="33">
        <f t="shared" ref="D70:P70" si="56">SUM(D68:D69)</f>
        <v>371845.97</v>
      </c>
      <c r="E70" s="33">
        <f t="shared" si="56"/>
        <v>666098.49</v>
      </c>
      <c r="F70" s="33">
        <f t="shared" si="56"/>
        <v>40983.370000000003</v>
      </c>
      <c r="G70" s="33">
        <f t="shared" si="56"/>
        <v>0</v>
      </c>
      <c r="H70" s="33">
        <f t="shared" si="56"/>
        <v>21564.18</v>
      </c>
      <c r="I70" s="33">
        <f t="shared" si="56"/>
        <v>0</v>
      </c>
      <c r="J70" s="33">
        <f t="shared" si="56"/>
        <v>0</v>
      </c>
      <c r="K70" s="33">
        <f t="shared" si="56"/>
        <v>309064.47000000003</v>
      </c>
      <c r="L70" s="33">
        <f t="shared" si="56"/>
        <v>0.01</v>
      </c>
      <c r="M70" s="33">
        <f t="shared" si="56"/>
        <v>157242.01</v>
      </c>
      <c r="N70" s="33">
        <f t="shared" si="56"/>
        <v>199984.44</v>
      </c>
      <c r="O70" s="33">
        <f t="shared" si="56"/>
        <v>0</v>
      </c>
      <c r="P70" s="170">
        <f t="shared" si="56"/>
        <v>1766782.9400000002</v>
      </c>
    </row>
    <row r="71" spans="1:16" hidden="1" outlineLevel="2">
      <c r="A71" s="22"/>
      <c r="B71" s="28">
        <v>5800</v>
      </c>
      <c r="C71" s="29" t="s">
        <v>118</v>
      </c>
      <c r="D71" s="30">
        <f>N(0)</f>
        <v>0</v>
      </c>
      <c r="E71" s="30">
        <f>N(-166945.62)</f>
        <v>-166945.62</v>
      </c>
      <c r="F71" s="30">
        <f t="shared" ref="F71:N73" si="57">N(0)</f>
        <v>0</v>
      </c>
      <c r="G71" s="30">
        <f t="shared" si="57"/>
        <v>0</v>
      </c>
      <c r="H71" s="30">
        <f t="shared" si="57"/>
        <v>0</v>
      </c>
      <c r="I71" s="30">
        <f t="shared" si="57"/>
        <v>0</v>
      </c>
      <c r="J71" s="30">
        <f t="shared" si="57"/>
        <v>0</v>
      </c>
      <c r="K71" s="30">
        <f t="shared" si="57"/>
        <v>0</v>
      </c>
      <c r="L71" s="30">
        <f t="shared" si="57"/>
        <v>0</v>
      </c>
      <c r="M71" s="30">
        <f>N(-7936.77)</f>
        <v>-7936.77</v>
      </c>
      <c r="N71" s="30">
        <f>N(-290314.62)</f>
        <v>-290314.62</v>
      </c>
      <c r="O71" s="30">
        <f t="shared" ref="O71:O73" si="58">N(0)</f>
        <v>0</v>
      </c>
      <c r="P71" s="169">
        <f>SUM(D71:O71)</f>
        <v>-465197.01</v>
      </c>
    </row>
    <row r="72" spans="1:16" hidden="1" outlineLevel="2">
      <c r="A72" s="22"/>
      <c r="B72" s="28">
        <v>5802</v>
      </c>
      <c r="C72" s="29" t="s">
        <v>119</v>
      </c>
      <c r="D72" s="30">
        <f>N(-80698.52)</f>
        <v>-80698.52</v>
      </c>
      <c r="E72" s="30">
        <f>N(-3639.09)</f>
        <v>-3639.09</v>
      </c>
      <c r="F72" s="30">
        <f t="shared" si="57"/>
        <v>0</v>
      </c>
      <c r="G72" s="30">
        <f t="shared" si="57"/>
        <v>0</v>
      </c>
      <c r="H72" s="30">
        <f t="shared" si="57"/>
        <v>0</v>
      </c>
      <c r="I72" s="30">
        <f t="shared" si="57"/>
        <v>0</v>
      </c>
      <c r="J72" s="30">
        <f t="shared" si="57"/>
        <v>0</v>
      </c>
      <c r="K72" s="30">
        <f t="shared" si="57"/>
        <v>0</v>
      </c>
      <c r="L72" s="30">
        <f t="shared" si="57"/>
        <v>0</v>
      </c>
      <c r="M72" s="30">
        <f t="shared" si="57"/>
        <v>0</v>
      </c>
      <c r="N72" s="30">
        <f t="shared" si="57"/>
        <v>0</v>
      </c>
      <c r="O72" s="30">
        <f t="shared" si="58"/>
        <v>0</v>
      </c>
      <c r="P72" s="169">
        <f>SUM(D72:O72)</f>
        <v>-84337.61</v>
      </c>
    </row>
    <row r="73" spans="1:16" hidden="1" outlineLevel="2">
      <c r="A73" s="22"/>
      <c r="B73" s="28">
        <v>5860</v>
      </c>
      <c r="C73" s="29" t="s">
        <v>120</v>
      </c>
      <c r="D73" s="30">
        <f>N(0)</f>
        <v>0</v>
      </c>
      <c r="E73" s="30">
        <f>N(-21638.73)</f>
        <v>-21638.73</v>
      </c>
      <c r="F73" s="30">
        <f t="shared" si="57"/>
        <v>0</v>
      </c>
      <c r="G73" s="30">
        <f t="shared" si="57"/>
        <v>0</v>
      </c>
      <c r="H73" s="30">
        <f t="shared" si="57"/>
        <v>0</v>
      </c>
      <c r="I73" s="30">
        <f t="shared" si="57"/>
        <v>0</v>
      </c>
      <c r="J73" s="30">
        <f t="shared" si="57"/>
        <v>0</v>
      </c>
      <c r="K73" s="30">
        <f t="shared" si="57"/>
        <v>0</v>
      </c>
      <c r="L73" s="30">
        <f t="shared" si="57"/>
        <v>0</v>
      </c>
      <c r="M73" s="30">
        <f>N(-55.57)</f>
        <v>-55.57</v>
      </c>
      <c r="N73" s="30">
        <f>N(-1958.69)</f>
        <v>-1958.69</v>
      </c>
      <c r="O73" s="30">
        <f t="shared" si="58"/>
        <v>0</v>
      </c>
      <c r="P73" s="169">
        <f>SUM(D73:O73)</f>
        <v>-23652.989999999998</v>
      </c>
    </row>
    <row r="74" spans="1:16" outlineLevel="1" collapsed="1">
      <c r="A74" s="22"/>
      <c r="B74" s="35" t="str">
        <f>"    "&amp;"Offentlig refusjon vedrørende arbeidskraft"</f>
        <v xml:space="preserve">    Offentlig refusjon vedrørende arbeidskraft</v>
      </c>
      <c r="C74" s="36"/>
      <c r="D74" s="33">
        <f t="shared" ref="D74:P74" si="59">SUM(D71:D73)</f>
        <v>-80698.52</v>
      </c>
      <c r="E74" s="33">
        <f t="shared" si="59"/>
        <v>-192223.44</v>
      </c>
      <c r="F74" s="33">
        <f t="shared" si="59"/>
        <v>0</v>
      </c>
      <c r="G74" s="33">
        <f t="shared" si="59"/>
        <v>0</v>
      </c>
      <c r="H74" s="33">
        <f t="shared" si="59"/>
        <v>0</v>
      </c>
      <c r="I74" s="33">
        <f t="shared" si="59"/>
        <v>0</v>
      </c>
      <c r="J74" s="33">
        <f t="shared" si="59"/>
        <v>0</v>
      </c>
      <c r="K74" s="33">
        <f t="shared" si="59"/>
        <v>0</v>
      </c>
      <c r="L74" s="33">
        <f t="shared" si="59"/>
        <v>0</v>
      </c>
      <c r="M74" s="33">
        <f t="shared" si="59"/>
        <v>-7992.34</v>
      </c>
      <c r="N74" s="33">
        <f t="shared" si="59"/>
        <v>-292273.31</v>
      </c>
      <c r="O74" s="33">
        <f t="shared" si="59"/>
        <v>0</v>
      </c>
      <c r="P74" s="170">
        <f t="shared" si="59"/>
        <v>-573187.61</v>
      </c>
    </row>
    <row r="75" spans="1:16" hidden="1" outlineLevel="2">
      <c r="A75" s="22"/>
      <c r="B75" s="28">
        <v>5500</v>
      </c>
      <c r="C75" s="29" t="s">
        <v>121</v>
      </c>
      <c r="D75" s="30">
        <f>N(210688.18)</f>
        <v>210688.18</v>
      </c>
      <c r="E75" s="30">
        <f t="shared" ref="E75:O82" si="60">N(0)</f>
        <v>0</v>
      </c>
      <c r="F75" s="30">
        <f t="shared" si="60"/>
        <v>0</v>
      </c>
      <c r="G75" s="30">
        <f t="shared" si="60"/>
        <v>0</v>
      </c>
      <c r="H75" s="30">
        <f t="shared" si="60"/>
        <v>0</v>
      </c>
      <c r="I75" s="30">
        <f t="shared" si="60"/>
        <v>0</v>
      </c>
      <c r="J75" s="30">
        <f t="shared" si="60"/>
        <v>0</v>
      </c>
      <c r="K75" s="30">
        <f t="shared" si="60"/>
        <v>0</v>
      </c>
      <c r="L75" s="30">
        <f t="shared" si="60"/>
        <v>0</v>
      </c>
      <c r="M75" s="30">
        <f t="shared" si="60"/>
        <v>0</v>
      </c>
      <c r="N75" s="30">
        <f t="shared" si="60"/>
        <v>0</v>
      </c>
      <c r="O75" s="30">
        <f t="shared" si="60"/>
        <v>0</v>
      </c>
      <c r="P75" s="169">
        <f>SUM(D75:O75)</f>
        <v>210688.18</v>
      </c>
    </row>
    <row r="76" spans="1:16" hidden="1" outlineLevel="2">
      <c r="A76" s="22"/>
      <c r="B76" s="28">
        <v>5900</v>
      </c>
      <c r="C76" s="29" t="s">
        <v>122</v>
      </c>
      <c r="D76" s="30">
        <f>N(7876.9)</f>
        <v>7876.9</v>
      </c>
      <c r="E76" s="30">
        <f>N(24633.5)</f>
        <v>24633.5</v>
      </c>
      <c r="F76" s="30">
        <f t="shared" si="60"/>
        <v>0</v>
      </c>
      <c r="G76" s="30">
        <f t="shared" si="60"/>
        <v>0</v>
      </c>
      <c r="H76" s="30">
        <f t="shared" si="60"/>
        <v>0</v>
      </c>
      <c r="I76" s="30">
        <f t="shared" si="60"/>
        <v>0</v>
      </c>
      <c r="J76" s="30">
        <f t="shared" si="60"/>
        <v>0</v>
      </c>
      <c r="K76" s="30">
        <f t="shared" si="60"/>
        <v>0</v>
      </c>
      <c r="L76" s="30">
        <f t="shared" si="60"/>
        <v>0</v>
      </c>
      <c r="M76" s="30">
        <f>N(3305.45)</f>
        <v>3305.45</v>
      </c>
      <c r="N76" s="30">
        <f>N(3573)</f>
        <v>3573</v>
      </c>
      <c r="O76" s="30">
        <f t="shared" si="60"/>
        <v>0</v>
      </c>
      <c r="P76" s="169">
        <f>SUM(D76:O76)</f>
        <v>39388.85</v>
      </c>
    </row>
    <row r="77" spans="1:16" hidden="1" outlineLevel="2">
      <c r="A77" s="22"/>
      <c r="B77" s="28">
        <v>5910</v>
      </c>
      <c r="C77" s="29" t="s">
        <v>109</v>
      </c>
      <c r="D77" s="30">
        <f>N(1546)</f>
        <v>1546</v>
      </c>
      <c r="E77" s="30">
        <f>N(1395)</f>
        <v>1395</v>
      </c>
      <c r="F77" s="30">
        <f t="shared" si="60"/>
        <v>0</v>
      </c>
      <c r="G77" s="30">
        <f t="shared" si="60"/>
        <v>0</v>
      </c>
      <c r="H77" s="30">
        <f t="shared" si="60"/>
        <v>0</v>
      </c>
      <c r="I77" s="30">
        <f t="shared" si="60"/>
        <v>0</v>
      </c>
      <c r="J77" s="30">
        <f t="shared" si="60"/>
        <v>0</v>
      </c>
      <c r="K77" s="30">
        <f>N(2332)</f>
        <v>2332</v>
      </c>
      <c r="L77" s="30">
        <f>N(0)</f>
        <v>0</v>
      </c>
      <c r="M77" s="30">
        <f>N(1360.83)</f>
        <v>1360.83</v>
      </c>
      <c r="N77" s="30">
        <f>N(7688.13)</f>
        <v>7688.13</v>
      </c>
      <c r="O77" s="30">
        <f t="shared" si="60"/>
        <v>0</v>
      </c>
      <c r="P77" s="169">
        <f>SUM(D77:O77)</f>
        <v>14321.96</v>
      </c>
    </row>
    <row r="78" spans="1:16" hidden="1" outlineLevel="2">
      <c r="A78" s="22"/>
      <c r="B78" s="28">
        <v>5942</v>
      </c>
      <c r="C78" s="29" t="s">
        <v>123</v>
      </c>
      <c r="D78" s="30">
        <f t="shared" ref="D78:E78" si="61">N(0)</f>
        <v>0</v>
      </c>
      <c r="E78" s="30">
        <f t="shared" si="61"/>
        <v>0</v>
      </c>
      <c r="F78" s="30">
        <f t="shared" si="60"/>
        <v>0</v>
      </c>
      <c r="G78" s="30">
        <f t="shared" si="60"/>
        <v>0</v>
      </c>
      <c r="H78" s="30">
        <f t="shared" si="60"/>
        <v>0</v>
      </c>
      <c r="I78" s="30">
        <f t="shared" si="60"/>
        <v>0</v>
      </c>
      <c r="J78" s="30">
        <f t="shared" si="60"/>
        <v>0</v>
      </c>
      <c r="K78" s="30">
        <f>N(0)</f>
        <v>0</v>
      </c>
      <c r="L78" s="30">
        <f>N(196838)</f>
        <v>196838</v>
      </c>
      <c r="M78" s="30">
        <f t="shared" ref="M78:N78" si="62">N(0)</f>
        <v>0</v>
      </c>
      <c r="N78" s="30">
        <f t="shared" si="62"/>
        <v>0</v>
      </c>
      <c r="O78" s="30">
        <f t="shared" si="60"/>
        <v>0</v>
      </c>
      <c r="P78" s="169">
        <f>SUM(D78:O78)</f>
        <v>196838</v>
      </c>
    </row>
    <row r="79" spans="1:16" hidden="1" outlineLevel="2">
      <c r="A79" s="22"/>
      <c r="B79" s="28">
        <v>5947</v>
      </c>
      <c r="C79" s="29" t="s">
        <v>124</v>
      </c>
      <c r="D79" s="30">
        <f>N(410666.15)</f>
        <v>410666.15</v>
      </c>
      <c r="E79" s="30">
        <f>N(273108.53)</f>
        <v>273108.53000000003</v>
      </c>
      <c r="F79" s="30">
        <f>N(14977.3)</f>
        <v>14977.3</v>
      </c>
      <c r="G79" s="30">
        <f t="shared" si="60"/>
        <v>0</v>
      </c>
      <c r="H79" s="30">
        <f>N(6535.88)</f>
        <v>6535.88</v>
      </c>
      <c r="I79" s="30">
        <f t="shared" si="60"/>
        <v>0</v>
      </c>
      <c r="J79" s="30">
        <f t="shared" si="60"/>
        <v>0</v>
      </c>
      <c r="K79" s="30">
        <f>N(118711.8)</f>
        <v>118711.8</v>
      </c>
      <c r="L79" s="30">
        <f t="shared" ref="L79:L82" si="63">N(0)</f>
        <v>0</v>
      </c>
      <c r="M79" s="30">
        <f>N(50569.87)</f>
        <v>50569.87</v>
      </c>
      <c r="N79" s="30">
        <f>N(121220.31)</f>
        <v>121220.31</v>
      </c>
      <c r="O79" s="30">
        <f t="shared" si="60"/>
        <v>0</v>
      </c>
      <c r="P79" s="169">
        <f>SUM(D79:O79)</f>
        <v>995789.84000000008</v>
      </c>
    </row>
    <row r="80" spans="1:16" hidden="1" outlineLevel="2">
      <c r="A80" s="22"/>
      <c r="B80" s="28">
        <v>5960</v>
      </c>
      <c r="C80" s="29" t="s">
        <v>125</v>
      </c>
      <c r="D80" s="30">
        <f>N(3500)</f>
        <v>3500</v>
      </c>
      <c r="E80" s="30">
        <f>N(6737.5)</f>
        <v>6737.5</v>
      </c>
      <c r="F80" s="30">
        <f t="shared" ref="F80:F82" si="64">N(0)</f>
        <v>0</v>
      </c>
      <c r="G80" s="30">
        <f t="shared" si="60"/>
        <v>0</v>
      </c>
      <c r="H80" s="30">
        <f>N(0)</f>
        <v>0</v>
      </c>
      <c r="I80" s="30">
        <f t="shared" si="60"/>
        <v>0</v>
      </c>
      <c r="J80" s="30">
        <f t="shared" si="60"/>
        <v>0</v>
      </c>
      <c r="K80" s="30">
        <f>N(700)</f>
        <v>700</v>
      </c>
      <c r="L80" s="30">
        <f t="shared" si="63"/>
        <v>0</v>
      </c>
      <c r="M80" s="30">
        <f>N(4050)</f>
        <v>4050</v>
      </c>
      <c r="N80" s="30">
        <f>N(8050)</f>
        <v>8050</v>
      </c>
      <c r="O80" s="30">
        <f t="shared" si="60"/>
        <v>0</v>
      </c>
      <c r="P80" s="169">
        <f>SUM(D80:O80)</f>
        <v>23037.5</v>
      </c>
    </row>
    <row r="81" spans="1:16" hidden="1" outlineLevel="2">
      <c r="A81" s="22"/>
      <c r="B81" s="28">
        <v>5980</v>
      </c>
      <c r="C81" s="29" t="s">
        <v>126</v>
      </c>
      <c r="D81" s="30">
        <f>N(51006.17)</f>
        <v>51006.17</v>
      </c>
      <c r="E81" s="30">
        <f>N(0)</f>
        <v>0</v>
      </c>
      <c r="F81" s="30">
        <f t="shared" si="64"/>
        <v>0</v>
      </c>
      <c r="G81" s="30">
        <f t="shared" si="60"/>
        <v>0</v>
      </c>
      <c r="H81" s="30">
        <f>N(54862)</f>
        <v>54862</v>
      </c>
      <c r="I81" s="30">
        <f t="shared" si="60"/>
        <v>0</v>
      </c>
      <c r="J81" s="30">
        <f t="shared" si="60"/>
        <v>0</v>
      </c>
      <c r="K81" s="30">
        <f>N(0)</f>
        <v>0</v>
      </c>
      <c r="L81" s="30">
        <f t="shared" si="63"/>
        <v>0</v>
      </c>
      <c r="M81" s="30">
        <f>N(59368)</f>
        <v>59368</v>
      </c>
      <c r="N81" s="30">
        <f>N(761742)</f>
        <v>761742</v>
      </c>
      <c r="O81" s="30">
        <f t="shared" si="60"/>
        <v>0</v>
      </c>
      <c r="P81" s="169">
        <f>SUM(D81:O81)</f>
        <v>926978.16999999993</v>
      </c>
    </row>
    <row r="82" spans="1:16" hidden="1" outlineLevel="2">
      <c r="A82" s="22"/>
      <c r="B82" s="28">
        <v>5990</v>
      </c>
      <c r="C82" s="29" t="s">
        <v>127</v>
      </c>
      <c r="D82" s="30">
        <f>N(7895.32)</f>
        <v>7895.32</v>
      </c>
      <c r="E82" s="30">
        <f>N(40105.24)</f>
        <v>40105.24</v>
      </c>
      <c r="F82" s="30">
        <f t="shared" si="64"/>
        <v>0</v>
      </c>
      <c r="G82" s="30">
        <f t="shared" si="60"/>
        <v>0</v>
      </c>
      <c r="H82" s="30">
        <f>N(0)</f>
        <v>0</v>
      </c>
      <c r="I82" s="30">
        <f t="shared" si="60"/>
        <v>0</v>
      </c>
      <c r="J82" s="30">
        <f t="shared" si="60"/>
        <v>0</v>
      </c>
      <c r="K82" s="30">
        <f>N(6749.6)</f>
        <v>6749.6</v>
      </c>
      <c r="L82" s="30">
        <f t="shared" si="63"/>
        <v>0</v>
      </c>
      <c r="M82" s="30">
        <f>N(0)</f>
        <v>0</v>
      </c>
      <c r="N82" s="30">
        <f>N(1500)</f>
        <v>1500</v>
      </c>
      <c r="O82" s="30">
        <f t="shared" si="60"/>
        <v>0</v>
      </c>
      <c r="P82" s="169">
        <f>SUM(D82:O82)</f>
        <v>56250.159999999996</v>
      </c>
    </row>
    <row r="83" spans="1:16" outlineLevel="1" collapsed="1">
      <c r="A83" s="22"/>
      <c r="B83" s="35" t="str">
        <f>"    "&amp;"Annen personalkostnad"</f>
        <v xml:space="preserve">    Annen personalkostnad</v>
      </c>
      <c r="C83" s="36"/>
      <c r="D83" s="33">
        <f t="shared" ref="D83:P83" si="65">SUM(D75:D82)</f>
        <v>693178.72</v>
      </c>
      <c r="E83" s="33">
        <f t="shared" si="65"/>
        <v>345979.77</v>
      </c>
      <c r="F83" s="33">
        <f t="shared" si="65"/>
        <v>14977.3</v>
      </c>
      <c r="G83" s="33">
        <f t="shared" si="65"/>
        <v>0</v>
      </c>
      <c r="H83" s="33">
        <f t="shared" si="65"/>
        <v>61397.88</v>
      </c>
      <c r="I83" s="33">
        <f t="shared" si="65"/>
        <v>0</v>
      </c>
      <c r="J83" s="33">
        <f t="shared" si="65"/>
        <v>0</v>
      </c>
      <c r="K83" s="33">
        <f t="shared" si="65"/>
        <v>128493.40000000001</v>
      </c>
      <c r="L83" s="33">
        <f t="shared" si="65"/>
        <v>196838</v>
      </c>
      <c r="M83" s="33">
        <f t="shared" si="65"/>
        <v>118654.15</v>
      </c>
      <c r="N83" s="33">
        <f t="shared" si="65"/>
        <v>903773.44</v>
      </c>
      <c r="O83" s="33">
        <f t="shared" si="65"/>
        <v>0</v>
      </c>
      <c r="P83" s="170">
        <f t="shared" si="65"/>
        <v>2463292.66</v>
      </c>
    </row>
    <row r="84" spans="1:16" hidden="1" outlineLevel="2">
      <c r="A84" s="22"/>
      <c r="B84" s="28">
        <v>5994</v>
      </c>
      <c r="C84" s="29" t="s">
        <v>140</v>
      </c>
      <c r="D84" s="30">
        <f t="shared" ref="D84:O84" si="66">N(0)</f>
        <v>0</v>
      </c>
      <c r="E84" s="30">
        <f t="shared" si="66"/>
        <v>0</v>
      </c>
      <c r="F84" s="30">
        <f t="shared" si="66"/>
        <v>0</v>
      </c>
      <c r="G84" s="30">
        <f t="shared" si="66"/>
        <v>0</v>
      </c>
      <c r="H84" s="30">
        <f t="shared" si="66"/>
        <v>0</v>
      </c>
      <c r="I84" s="30">
        <f t="shared" si="66"/>
        <v>0</v>
      </c>
      <c r="J84" s="30">
        <f t="shared" si="66"/>
        <v>0</v>
      </c>
      <c r="K84" s="30">
        <f t="shared" si="66"/>
        <v>0</v>
      </c>
      <c r="L84" s="30">
        <f t="shared" si="66"/>
        <v>0</v>
      </c>
      <c r="M84" s="30">
        <f t="shared" si="66"/>
        <v>0</v>
      </c>
      <c r="N84" s="30">
        <f t="shared" si="66"/>
        <v>0</v>
      </c>
      <c r="O84" s="30">
        <f t="shared" si="66"/>
        <v>0</v>
      </c>
      <c r="P84" s="169">
        <f>SUM(D84:O84)</f>
        <v>0</v>
      </c>
    </row>
    <row r="85" spans="1:16" outlineLevel="1" collapsed="1">
      <c r="A85" s="22"/>
      <c r="B85" s="35" t="str">
        <f>"    "&amp;"Pensjon og forsikring Cornerstone"</f>
        <v xml:space="preserve">    Pensjon og forsikring Cornerstone</v>
      </c>
      <c r="C85" s="36"/>
      <c r="D85" s="33">
        <f t="shared" ref="D85:P85" si="67">SUM(D84)</f>
        <v>0</v>
      </c>
      <c r="E85" s="33">
        <f t="shared" si="67"/>
        <v>0</v>
      </c>
      <c r="F85" s="33">
        <f t="shared" si="67"/>
        <v>0</v>
      </c>
      <c r="G85" s="33">
        <f t="shared" si="67"/>
        <v>0</v>
      </c>
      <c r="H85" s="33">
        <f t="shared" si="67"/>
        <v>0</v>
      </c>
      <c r="I85" s="33">
        <f t="shared" si="67"/>
        <v>0</v>
      </c>
      <c r="J85" s="33">
        <f t="shared" si="67"/>
        <v>0</v>
      </c>
      <c r="K85" s="33">
        <f t="shared" si="67"/>
        <v>0</v>
      </c>
      <c r="L85" s="33">
        <f t="shared" si="67"/>
        <v>0</v>
      </c>
      <c r="M85" s="33">
        <f t="shared" si="67"/>
        <v>0</v>
      </c>
      <c r="N85" s="33">
        <f t="shared" si="67"/>
        <v>0</v>
      </c>
      <c r="O85" s="33">
        <f t="shared" si="67"/>
        <v>0</v>
      </c>
      <c r="P85" s="170">
        <f t="shared" si="67"/>
        <v>0</v>
      </c>
    </row>
    <row r="86" spans="1:16">
      <c r="A86" s="22"/>
      <c r="B86" s="41" t="s">
        <v>17</v>
      </c>
      <c r="C86" s="42"/>
      <c r="D86" s="44">
        <f ca="1">SUM(OSRRefD13_1x_0)</f>
        <v>7148683.2599999998</v>
      </c>
      <c r="E86" s="44">
        <f ca="1">SUM(OSRRefD13_1x_1)</f>
        <v>4901827.6199999992</v>
      </c>
      <c r="F86" s="44">
        <f ca="1">SUM(OSRRefD13_1x_2)</f>
        <v>349165.26</v>
      </c>
      <c r="G86" s="44">
        <f ca="1">SUM(OSRRefD13_1x_3)</f>
        <v>0</v>
      </c>
      <c r="H86" s="44">
        <f ca="1">SUM(OSRRefD13_1x_4)</f>
        <v>240313.38999999998</v>
      </c>
      <c r="I86" s="44">
        <f ca="1">SUM(OSRRefD13_1x_5)</f>
        <v>0</v>
      </c>
      <c r="J86" s="44">
        <f ca="1">SUM(OSRRefD13_1x_12)</f>
        <v>0</v>
      </c>
      <c r="K86" s="44">
        <f ca="1">SUM(OSRRefD13_1x_13)</f>
        <v>2635786.6700000004</v>
      </c>
      <c r="L86" s="44">
        <f ca="1">SUM(OSRRefD13_1x_14)</f>
        <v>293992.82</v>
      </c>
      <c r="M86" s="44">
        <f ca="1">SUM(OSRRefD13_1x_15)</f>
        <v>1375616.9599999997</v>
      </c>
      <c r="N86" s="44">
        <f ca="1">SUM(OSRRefD13_1x_16)</f>
        <v>2512059.2299999995</v>
      </c>
      <c r="O86" s="44">
        <f ca="1">SUM(OSRRefD13_1x_17)</f>
        <v>0</v>
      </c>
      <c r="P86" s="171">
        <f ca="1">SUM(OSRRefE13_1x)</f>
        <v>19457445.210000001</v>
      </c>
    </row>
    <row r="87" spans="1:16" hidden="1" outlineLevel="2">
      <c r="A87" s="22"/>
      <c r="B87" s="28">
        <v>6017</v>
      </c>
      <c r="C87" s="29" t="s">
        <v>141</v>
      </c>
      <c r="D87" s="30">
        <f>N(0)</f>
        <v>0</v>
      </c>
      <c r="E87" s="30">
        <f>N(109323.68)</f>
        <v>109323.68</v>
      </c>
      <c r="F87" s="30">
        <f t="shared" ref="F87:O87" si="68">N(0)</f>
        <v>0</v>
      </c>
      <c r="G87" s="30">
        <f t="shared" si="68"/>
        <v>0</v>
      </c>
      <c r="H87" s="30">
        <f t="shared" si="68"/>
        <v>0</v>
      </c>
      <c r="I87" s="30">
        <f t="shared" si="68"/>
        <v>0</v>
      </c>
      <c r="J87" s="30">
        <f t="shared" si="68"/>
        <v>0</v>
      </c>
      <c r="K87" s="30">
        <f t="shared" si="68"/>
        <v>0</v>
      </c>
      <c r="L87" s="30">
        <f t="shared" si="68"/>
        <v>0</v>
      </c>
      <c r="M87" s="30">
        <f t="shared" si="68"/>
        <v>0</v>
      </c>
      <c r="N87" s="30">
        <f t="shared" si="68"/>
        <v>0</v>
      </c>
      <c r="O87" s="30">
        <f t="shared" si="68"/>
        <v>0</v>
      </c>
      <c r="P87" s="169">
        <f>SUM(D87:O87)</f>
        <v>109323.68</v>
      </c>
    </row>
    <row r="88" spans="1:16" outlineLevel="1" collapsed="1">
      <c r="A88" s="22"/>
      <c r="B88" s="35" t="str">
        <f>"    "&amp;"Av- og nedskrivning"</f>
        <v xml:space="preserve">    Av- og nedskrivning</v>
      </c>
      <c r="C88" s="36"/>
      <c r="D88" s="33">
        <f t="shared" ref="D88:P88" si="69">SUM(D87)</f>
        <v>0</v>
      </c>
      <c r="E88" s="33">
        <f t="shared" si="69"/>
        <v>109323.68</v>
      </c>
      <c r="F88" s="33">
        <f t="shared" si="69"/>
        <v>0</v>
      </c>
      <c r="G88" s="33">
        <f t="shared" si="69"/>
        <v>0</v>
      </c>
      <c r="H88" s="33">
        <f t="shared" si="69"/>
        <v>0</v>
      </c>
      <c r="I88" s="33">
        <f t="shared" si="69"/>
        <v>0</v>
      </c>
      <c r="J88" s="33">
        <f t="shared" si="69"/>
        <v>0</v>
      </c>
      <c r="K88" s="33">
        <f t="shared" si="69"/>
        <v>0</v>
      </c>
      <c r="L88" s="33">
        <f t="shared" si="69"/>
        <v>0</v>
      </c>
      <c r="M88" s="33">
        <f t="shared" si="69"/>
        <v>0</v>
      </c>
      <c r="N88" s="33">
        <f t="shared" si="69"/>
        <v>0</v>
      </c>
      <c r="O88" s="33">
        <f t="shared" si="69"/>
        <v>0</v>
      </c>
      <c r="P88" s="170">
        <f t="shared" si="69"/>
        <v>109323.68</v>
      </c>
    </row>
    <row r="89" spans="1:16" hidden="1" outlineLevel="2">
      <c r="A89" s="22"/>
      <c r="B89" s="28">
        <v>6300</v>
      </c>
      <c r="C89" s="29" t="s">
        <v>142</v>
      </c>
      <c r="D89" s="30">
        <f>N(81032.44)</f>
        <v>81032.44</v>
      </c>
      <c r="E89" s="30">
        <f>N(409150)</f>
        <v>409150</v>
      </c>
      <c r="F89" s="30">
        <f t="shared" ref="F89:K93" si="70">N(0)</f>
        <v>0</v>
      </c>
      <c r="G89" s="30">
        <f t="shared" si="70"/>
        <v>0</v>
      </c>
      <c r="H89" s="30">
        <f t="shared" si="70"/>
        <v>0</v>
      </c>
      <c r="I89" s="30">
        <f t="shared" si="70"/>
        <v>0</v>
      </c>
      <c r="J89" s="30">
        <f t="shared" si="70"/>
        <v>0</v>
      </c>
      <c r="K89" s="30">
        <f>N(96840)</f>
        <v>96840</v>
      </c>
      <c r="L89" s="30">
        <f t="shared" ref="L89:O93" si="71">N(0)</f>
        <v>0</v>
      </c>
      <c r="M89" s="30">
        <f t="shared" si="71"/>
        <v>0</v>
      </c>
      <c r="N89" s="30">
        <f t="shared" si="71"/>
        <v>0</v>
      </c>
      <c r="O89" s="30">
        <f t="shared" si="71"/>
        <v>0</v>
      </c>
      <c r="P89" s="169">
        <f>SUM(D89:O89)</f>
        <v>587022.43999999994</v>
      </c>
    </row>
    <row r="90" spans="1:16" hidden="1" outlineLevel="2">
      <c r="A90" s="22"/>
      <c r="B90" s="28">
        <v>6340</v>
      </c>
      <c r="C90" s="29" t="s">
        <v>143</v>
      </c>
      <c r="D90" s="30">
        <f t="shared" ref="D90:D92" si="72">N(0)</f>
        <v>0</v>
      </c>
      <c r="E90" s="30">
        <f>N(0)</f>
        <v>0</v>
      </c>
      <c r="F90" s="30">
        <f t="shared" si="70"/>
        <v>0</v>
      </c>
      <c r="G90" s="30">
        <f t="shared" si="70"/>
        <v>0</v>
      </c>
      <c r="H90" s="30">
        <f t="shared" si="70"/>
        <v>0</v>
      </c>
      <c r="I90" s="30">
        <f t="shared" si="70"/>
        <v>0</v>
      </c>
      <c r="J90" s="30">
        <f t="shared" si="70"/>
        <v>0</v>
      </c>
      <c r="K90" s="30">
        <f>N(99)</f>
        <v>99</v>
      </c>
      <c r="L90" s="30">
        <f t="shared" si="71"/>
        <v>0</v>
      </c>
      <c r="M90" s="30">
        <f t="shared" si="71"/>
        <v>0</v>
      </c>
      <c r="N90" s="30">
        <f t="shared" si="71"/>
        <v>0</v>
      </c>
      <c r="O90" s="30">
        <f t="shared" si="71"/>
        <v>0</v>
      </c>
      <c r="P90" s="169">
        <f>SUM(D90:O90)</f>
        <v>99</v>
      </c>
    </row>
    <row r="91" spans="1:16" hidden="1" outlineLevel="2">
      <c r="A91" s="22"/>
      <c r="B91" s="28">
        <v>6360</v>
      </c>
      <c r="C91" s="29" t="s">
        <v>144</v>
      </c>
      <c r="D91" s="30">
        <f t="shared" si="72"/>
        <v>0</v>
      </c>
      <c r="E91" s="30">
        <f>N(42405)</f>
        <v>42405</v>
      </c>
      <c r="F91" s="30">
        <f t="shared" si="70"/>
        <v>0</v>
      </c>
      <c r="G91" s="30">
        <f t="shared" si="70"/>
        <v>0</v>
      </c>
      <c r="H91" s="30">
        <f>N(6610)</f>
        <v>6610</v>
      </c>
      <c r="I91" s="30">
        <f t="shared" si="70"/>
        <v>0</v>
      </c>
      <c r="J91" s="30">
        <f t="shared" si="70"/>
        <v>0</v>
      </c>
      <c r="K91" s="30">
        <f t="shared" si="70"/>
        <v>0</v>
      </c>
      <c r="L91" s="30">
        <f t="shared" si="71"/>
        <v>0</v>
      </c>
      <c r="M91" s="30">
        <f t="shared" si="71"/>
        <v>0</v>
      </c>
      <c r="N91" s="30">
        <f t="shared" si="71"/>
        <v>0</v>
      </c>
      <c r="O91" s="30">
        <f t="shared" si="71"/>
        <v>0</v>
      </c>
      <c r="P91" s="169">
        <f>SUM(D91:O91)</f>
        <v>49015</v>
      </c>
    </row>
    <row r="92" spans="1:16" hidden="1" outlineLevel="2">
      <c r="A92" s="22"/>
      <c r="B92" s="28">
        <v>6390</v>
      </c>
      <c r="C92" s="29" t="s">
        <v>145</v>
      </c>
      <c r="D92" s="30">
        <f t="shared" si="72"/>
        <v>0</v>
      </c>
      <c r="E92" s="30">
        <f>N(23561.09)</f>
        <v>23561.09</v>
      </c>
      <c r="F92" s="30">
        <f t="shared" si="70"/>
        <v>0</v>
      </c>
      <c r="G92" s="30">
        <f t="shared" si="70"/>
        <v>0</v>
      </c>
      <c r="H92" s="30">
        <f>N(913.3)</f>
        <v>913.3</v>
      </c>
      <c r="I92" s="30">
        <f t="shared" si="70"/>
        <v>0</v>
      </c>
      <c r="J92" s="30">
        <f t="shared" si="70"/>
        <v>0</v>
      </c>
      <c r="K92" s="30">
        <f t="shared" si="70"/>
        <v>0</v>
      </c>
      <c r="L92" s="30">
        <f t="shared" si="71"/>
        <v>0</v>
      </c>
      <c r="M92" s="30">
        <f t="shared" si="71"/>
        <v>0</v>
      </c>
      <c r="N92" s="30">
        <f t="shared" si="71"/>
        <v>0</v>
      </c>
      <c r="O92" s="30">
        <f t="shared" si="71"/>
        <v>0</v>
      </c>
      <c r="P92" s="169">
        <f>SUM(D92:O92)</f>
        <v>24474.39</v>
      </c>
    </row>
    <row r="93" spans="1:16" hidden="1" outlineLevel="2">
      <c r="A93" s="22"/>
      <c r="B93" s="28">
        <v>6490</v>
      </c>
      <c r="C93" s="29" t="s">
        <v>146</v>
      </c>
      <c r="D93" s="30">
        <f>N(2250)</f>
        <v>2250</v>
      </c>
      <c r="E93" s="30">
        <f>N(0)</f>
        <v>0</v>
      </c>
      <c r="F93" s="30">
        <f t="shared" si="70"/>
        <v>0</v>
      </c>
      <c r="G93" s="30">
        <f t="shared" si="70"/>
        <v>0</v>
      </c>
      <c r="H93" s="30">
        <f>N(46055)</f>
        <v>46055</v>
      </c>
      <c r="I93" s="30">
        <f t="shared" si="70"/>
        <v>0</v>
      </c>
      <c r="J93" s="30">
        <f t="shared" si="70"/>
        <v>0</v>
      </c>
      <c r="K93" s="30">
        <f t="shared" si="70"/>
        <v>0</v>
      </c>
      <c r="L93" s="30">
        <f t="shared" si="71"/>
        <v>0</v>
      </c>
      <c r="M93" s="30">
        <f t="shared" si="71"/>
        <v>0</v>
      </c>
      <c r="N93" s="30">
        <f>N(3000)</f>
        <v>3000</v>
      </c>
      <c r="O93" s="30">
        <f>N(0)</f>
        <v>0</v>
      </c>
      <c r="P93" s="169">
        <f>SUM(D93:O93)</f>
        <v>51305</v>
      </c>
    </row>
    <row r="94" spans="1:16" outlineLevel="1" collapsed="1">
      <c r="A94" s="22"/>
      <c r="B94" s="35" t="str">
        <f>"    "&amp;"Kostnad lokaler"</f>
        <v xml:space="preserve">    Kostnad lokaler</v>
      </c>
      <c r="C94" s="36"/>
      <c r="D94" s="33">
        <f t="shared" ref="D94:P94" si="73">SUM(D89:D93)</f>
        <v>83282.44</v>
      </c>
      <c r="E94" s="33">
        <f t="shared" si="73"/>
        <v>475116.09</v>
      </c>
      <c r="F94" s="33">
        <f t="shared" si="73"/>
        <v>0</v>
      </c>
      <c r="G94" s="33">
        <f t="shared" si="73"/>
        <v>0</v>
      </c>
      <c r="H94" s="33">
        <f t="shared" si="73"/>
        <v>53578.3</v>
      </c>
      <c r="I94" s="33">
        <f t="shared" si="73"/>
        <v>0</v>
      </c>
      <c r="J94" s="33">
        <f t="shared" si="73"/>
        <v>0</v>
      </c>
      <c r="K94" s="33">
        <f t="shared" si="73"/>
        <v>96939</v>
      </c>
      <c r="L94" s="33">
        <f t="shared" si="73"/>
        <v>0</v>
      </c>
      <c r="M94" s="33">
        <f t="shared" si="73"/>
        <v>0</v>
      </c>
      <c r="N94" s="33">
        <f t="shared" si="73"/>
        <v>3000</v>
      </c>
      <c r="O94" s="33">
        <f t="shared" si="73"/>
        <v>0</v>
      </c>
      <c r="P94" s="170">
        <f t="shared" si="73"/>
        <v>711915.83</v>
      </c>
    </row>
    <row r="95" spans="1:16" hidden="1" outlineLevel="2">
      <c r="A95" s="22"/>
      <c r="B95" s="28">
        <v>6405</v>
      </c>
      <c r="C95" s="29" t="s">
        <v>147</v>
      </c>
      <c r="D95" s="30">
        <f t="shared" ref="D95:I99" si="74">N(0)</f>
        <v>0</v>
      </c>
      <c r="E95" s="30">
        <f t="shared" si="74"/>
        <v>0</v>
      </c>
      <c r="F95" s="30">
        <f t="shared" si="74"/>
        <v>0</v>
      </c>
      <c r="G95" s="30">
        <f t="shared" si="74"/>
        <v>0</v>
      </c>
      <c r="H95" s="30">
        <f>N(276571.75)</f>
        <v>276571.75</v>
      </c>
      <c r="I95" s="30">
        <f t="shared" ref="I95:N99" si="75">N(0)</f>
        <v>0</v>
      </c>
      <c r="J95" s="30">
        <f t="shared" si="75"/>
        <v>0</v>
      </c>
      <c r="K95" s="30">
        <f t="shared" si="75"/>
        <v>0</v>
      </c>
      <c r="L95" s="30">
        <f t="shared" si="75"/>
        <v>0</v>
      </c>
      <c r="M95" s="30">
        <f t="shared" si="75"/>
        <v>0</v>
      </c>
      <c r="N95" s="30">
        <f>N(161370.5)</f>
        <v>161370.5</v>
      </c>
      <c r="O95" s="30">
        <f t="shared" ref="O95:O99" si="76">N(0)</f>
        <v>0</v>
      </c>
      <c r="P95" s="169">
        <f>SUM(D95:O95)</f>
        <v>437942.25</v>
      </c>
    </row>
    <row r="96" spans="1:16" hidden="1" outlineLevel="2">
      <c r="A96" s="22"/>
      <c r="B96" s="28">
        <v>6410</v>
      </c>
      <c r="C96" s="29" t="s">
        <v>148</v>
      </c>
      <c r="D96" s="30">
        <f t="shared" si="74"/>
        <v>0</v>
      </c>
      <c r="E96" s="30">
        <f t="shared" si="74"/>
        <v>0</v>
      </c>
      <c r="F96" s="30">
        <f t="shared" si="74"/>
        <v>0</v>
      </c>
      <c r="G96" s="30">
        <f t="shared" si="74"/>
        <v>0</v>
      </c>
      <c r="H96" s="30">
        <f>N(7750)</f>
        <v>7750</v>
      </c>
      <c r="I96" s="30">
        <f t="shared" si="75"/>
        <v>0</v>
      </c>
      <c r="J96" s="30">
        <f t="shared" si="75"/>
        <v>0</v>
      </c>
      <c r="K96" s="30">
        <f t="shared" si="75"/>
        <v>0</v>
      </c>
      <c r="L96" s="30">
        <f t="shared" si="75"/>
        <v>0</v>
      </c>
      <c r="M96" s="30">
        <f t="shared" si="75"/>
        <v>0</v>
      </c>
      <c r="N96" s="30">
        <f>N(0)</f>
        <v>0</v>
      </c>
      <c r="O96" s="30">
        <f t="shared" si="76"/>
        <v>0</v>
      </c>
      <c r="P96" s="169">
        <f>SUM(D96:O96)</f>
        <v>7750</v>
      </c>
    </row>
    <row r="97" spans="1:16" hidden="1" outlineLevel="2">
      <c r="A97" s="22"/>
      <c r="B97" s="28">
        <v>6420</v>
      </c>
      <c r="C97" s="29" t="s">
        <v>149</v>
      </c>
      <c r="D97" s="30">
        <f>N(21924)</f>
        <v>21924</v>
      </c>
      <c r="E97" s="30">
        <f>N(288652.74)</f>
        <v>288652.74</v>
      </c>
      <c r="F97" s="30">
        <f>N(4356.6)</f>
        <v>4356.6000000000004</v>
      </c>
      <c r="G97" s="30">
        <f t="shared" si="74"/>
        <v>0</v>
      </c>
      <c r="H97" s="30">
        <f>N(1028)</f>
        <v>1028</v>
      </c>
      <c r="I97" s="30">
        <f>N(956496.3)</f>
        <v>956496.3</v>
      </c>
      <c r="J97" s="30">
        <f t="shared" si="75"/>
        <v>0</v>
      </c>
      <c r="K97" s="30">
        <f>N(2252)</f>
        <v>2252</v>
      </c>
      <c r="L97" s="30">
        <f t="shared" si="75"/>
        <v>0</v>
      </c>
      <c r="M97" s="30">
        <f>N(7586)</f>
        <v>7586</v>
      </c>
      <c r="N97" s="30">
        <f>N(21487.6)</f>
        <v>21487.599999999999</v>
      </c>
      <c r="O97" s="30">
        <f t="shared" si="76"/>
        <v>0</v>
      </c>
      <c r="P97" s="169">
        <f>SUM(D97:O97)</f>
        <v>1303783.2400000002</v>
      </c>
    </row>
    <row r="98" spans="1:16" hidden="1" outlineLevel="2">
      <c r="A98" s="22"/>
      <c r="B98" s="28">
        <v>6421</v>
      </c>
      <c r="C98" s="29" t="s">
        <v>150</v>
      </c>
      <c r="D98" s="30">
        <f t="shared" ref="D98:D99" si="77">N(0)</f>
        <v>0</v>
      </c>
      <c r="E98" s="30">
        <f>N(0)</f>
        <v>0</v>
      </c>
      <c r="F98" s="30">
        <f>N(617.62)</f>
        <v>617.62</v>
      </c>
      <c r="G98" s="30">
        <f t="shared" si="74"/>
        <v>0</v>
      </c>
      <c r="H98" s="30">
        <f t="shared" si="74"/>
        <v>0</v>
      </c>
      <c r="I98" s="30">
        <f t="shared" si="74"/>
        <v>0</v>
      </c>
      <c r="J98" s="30">
        <f t="shared" si="75"/>
        <v>0</v>
      </c>
      <c r="K98" s="30">
        <f t="shared" si="75"/>
        <v>0</v>
      </c>
      <c r="L98" s="30">
        <f t="shared" si="75"/>
        <v>0</v>
      </c>
      <c r="M98" s="30">
        <f t="shared" si="75"/>
        <v>0</v>
      </c>
      <c r="N98" s="30">
        <f t="shared" si="75"/>
        <v>0</v>
      </c>
      <c r="O98" s="30">
        <f t="shared" si="76"/>
        <v>0</v>
      </c>
      <c r="P98" s="169">
        <f>SUM(D98:O98)</f>
        <v>617.62</v>
      </c>
    </row>
    <row r="99" spans="1:16" hidden="1" outlineLevel="2">
      <c r="A99" s="22"/>
      <c r="B99" s="28">
        <v>6430</v>
      </c>
      <c r="C99" s="29" t="s">
        <v>151</v>
      </c>
      <c r="D99" s="30">
        <f t="shared" si="77"/>
        <v>0</v>
      </c>
      <c r="E99" s="30">
        <f>N(21729.89)</f>
        <v>21729.89</v>
      </c>
      <c r="F99" s="30">
        <f>N(0)</f>
        <v>0</v>
      </c>
      <c r="G99" s="30">
        <f t="shared" si="74"/>
        <v>0</v>
      </c>
      <c r="H99" s="30">
        <f t="shared" si="74"/>
        <v>0</v>
      </c>
      <c r="I99" s="30">
        <f t="shared" si="74"/>
        <v>0</v>
      </c>
      <c r="J99" s="30">
        <f t="shared" si="75"/>
        <v>0</v>
      </c>
      <c r="K99" s="30">
        <f t="shared" si="75"/>
        <v>0</v>
      </c>
      <c r="L99" s="30">
        <f t="shared" si="75"/>
        <v>0</v>
      </c>
      <c r="M99" s="30">
        <f t="shared" si="75"/>
        <v>0</v>
      </c>
      <c r="N99" s="30">
        <f t="shared" si="75"/>
        <v>0</v>
      </c>
      <c r="O99" s="30">
        <f t="shared" si="76"/>
        <v>0</v>
      </c>
      <c r="P99" s="169">
        <f>SUM(D99:O99)</f>
        <v>21729.89</v>
      </c>
    </row>
    <row r="100" spans="1:16" outlineLevel="1" collapsed="1">
      <c r="A100" s="22"/>
      <c r="B100" s="35" t="str">
        <f>"    "&amp;"Leie maskiner, inventar o.l."</f>
        <v xml:space="preserve">    Leie maskiner, inventar o.l.</v>
      </c>
      <c r="C100" s="36"/>
      <c r="D100" s="33">
        <f t="shared" ref="D100:P100" si="78">SUM(D95:D99)</f>
        <v>21924</v>
      </c>
      <c r="E100" s="33">
        <f t="shared" si="78"/>
        <v>310382.63</v>
      </c>
      <c r="F100" s="33">
        <f t="shared" si="78"/>
        <v>4974.22</v>
      </c>
      <c r="G100" s="33">
        <f t="shared" si="78"/>
        <v>0</v>
      </c>
      <c r="H100" s="33">
        <f t="shared" si="78"/>
        <v>285349.75</v>
      </c>
      <c r="I100" s="33">
        <f t="shared" si="78"/>
        <v>956496.3</v>
      </c>
      <c r="J100" s="33">
        <f t="shared" si="78"/>
        <v>0</v>
      </c>
      <c r="K100" s="33">
        <f t="shared" si="78"/>
        <v>2252</v>
      </c>
      <c r="L100" s="33">
        <f t="shared" si="78"/>
        <v>0</v>
      </c>
      <c r="M100" s="33">
        <f t="shared" si="78"/>
        <v>7586</v>
      </c>
      <c r="N100" s="33">
        <f t="shared" si="78"/>
        <v>182858.1</v>
      </c>
      <c r="O100" s="33">
        <f t="shared" si="78"/>
        <v>0</v>
      </c>
      <c r="P100" s="170">
        <f t="shared" si="78"/>
        <v>1771823.0000000002</v>
      </c>
    </row>
    <row r="101" spans="1:16" hidden="1" outlineLevel="2">
      <c r="A101" s="22"/>
      <c r="B101" s="28">
        <v>6540</v>
      </c>
      <c r="C101" s="29" t="s">
        <v>152</v>
      </c>
      <c r="D101" s="30">
        <f>N(1647)</f>
        <v>1647</v>
      </c>
      <c r="E101" s="30">
        <f>N(44755.9)</f>
        <v>44755.9</v>
      </c>
      <c r="F101" s="30">
        <f t="shared" ref="F101:M104" si="79">N(0)</f>
        <v>0</v>
      </c>
      <c r="G101" s="30">
        <f t="shared" si="79"/>
        <v>0</v>
      </c>
      <c r="H101" s="30">
        <f t="shared" si="79"/>
        <v>0</v>
      </c>
      <c r="I101" s="30">
        <f t="shared" si="79"/>
        <v>0</v>
      </c>
      <c r="J101" s="30">
        <f t="shared" si="79"/>
        <v>0</v>
      </c>
      <c r="K101" s="30">
        <f t="shared" si="79"/>
        <v>0</v>
      </c>
      <c r="L101" s="30">
        <f t="shared" si="79"/>
        <v>0</v>
      </c>
      <c r="M101" s="30">
        <f t="shared" si="79"/>
        <v>0</v>
      </c>
      <c r="N101" s="30">
        <f>N(795)</f>
        <v>795</v>
      </c>
      <c r="O101" s="30">
        <f t="shared" ref="O101:O104" si="80">N(0)</f>
        <v>0</v>
      </c>
      <c r="P101" s="169">
        <f>SUM(D101:O101)</f>
        <v>47197.9</v>
      </c>
    </row>
    <row r="102" spans="1:16" hidden="1" outlineLevel="2">
      <c r="A102" s="22"/>
      <c r="B102" s="28">
        <v>6550</v>
      </c>
      <c r="C102" s="29" t="s">
        <v>153</v>
      </c>
      <c r="D102" s="30">
        <f>N(6630.39)</f>
        <v>6630.39</v>
      </c>
      <c r="E102" s="30">
        <f>N(53613.51)</f>
        <v>53613.51</v>
      </c>
      <c r="F102" s="30">
        <f>N(1491.31)</f>
        <v>1491.31</v>
      </c>
      <c r="G102" s="30">
        <f t="shared" si="79"/>
        <v>0</v>
      </c>
      <c r="H102" s="30">
        <f>N(2882.88)</f>
        <v>2882.88</v>
      </c>
      <c r="I102" s="30">
        <f>N(15000)</f>
        <v>15000</v>
      </c>
      <c r="J102" s="30">
        <f t="shared" si="79"/>
        <v>0</v>
      </c>
      <c r="K102" s="30">
        <f>N(2500)</f>
        <v>2500</v>
      </c>
      <c r="L102" s="30">
        <f t="shared" si="79"/>
        <v>0</v>
      </c>
      <c r="M102" s="30">
        <f t="shared" si="79"/>
        <v>0</v>
      </c>
      <c r="N102" s="30">
        <f>N(23585.13)</f>
        <v>23585.13</v>
      </c>
      <c r="O102" s="30">
        <f t="shared" si="80"/>
        <v>0</v>
      </c>
      <c r="P102" s="169">
        <f>SUM(D102:O102)</f>
        <v>105703.22</v>
      </c>
    </row>
    <row r="103" spans="1:16" hidden="1" outlineLevel="2">
      <c r="A103" s="22"/>
      <c r="B103" s="28">
        <v>6551</v>
      </c>
      <c r="C103" s="29" t="s">
        <v>154</v>
      </c>
      <c r="D103" s="30">
        <f>N(21617)</f>
        <v>21617</v>
      </c>
      <c r="E103" s="30">
        <f>N(45319.32)</f>
        <v>45319.32</v>
      </c>
      <c r="F103" s="30">
        <f t="shared" ref="F103:F104" si="81">N(0)</f>
        <v>0</v>
      </c>
      <c r="G103" s="30">
        <f t="shared" si="79"/>
        <v>0</v>
      </c>
      <c r="H103" s="30">
        <f>N(15769)</f>
        <v>15769</v>
      </c>
      <c r="I103" s="30">
        <f t="shared" ref="I103:I104" si="82">N(0)</f>
        <v>0</v>
      </c>
      <c r="J103" s="30">
        <f t="shared" si="79"/>
        <v>0</v>
      </c>
      <c r="K103" s="30">
        <f>N(21324.56)</f>
        <v>21324.560000000001</v>
      </c>
      <c r="L103" s="30">
        <f t="shared" si="79"/>
        <v>0</v>
      </c>
      <c r="M103" s="30">
        <f t="shared" si="79"/>
        <v>0</v>
      </c>
      <c r="N103" s="30">
        <f>N(49875.36)</f>
        <v>49875.360000000001</v>
      </c>
      <c r="O103" s="30">
        <f t="shared" si="80"/>
        <v>0</v>
      </c>
      <c r="P103" s="169">
        <f>SUM(D103:O103)</f>
        <v>153905.24</v>
      </c>
    </row>
    <row r="104" spans="1:16" hidden="1" outlineLevel="2">
      <c r="A104" s="22"/>
      <c r="B104" s="28">
        <v>6590</v>
      </c>
      <c r="C104" s="29" t="s">
        <v>155</v>
      </c>
      <c r="D104" s="30">
        <f t="shared" ref="D104:E104" si="83">N(0)</f>
        <v>0</v>
      </c>
      <c r="E104" s="30">
        <f t="shared" si="83"/>
        <v>0</v>
      </c>
      <c r="F104" s="30">
        <f t="shared" si="81"/>
        <v>0</v>
      </c>
      <c r="G104" s="30">
        <f t="shared" si="79"/>
        <v>0</v>
      </c>
      <c r="H104" s="30">
        <f>N(0)</f>
        <v>0</v>
      </c>
      <c r="I104" s="30">
        <f t="shared" si="82"/>
        <v>0</v>
      </c>
      <c r="J104" s="30">
        <f t="shared" si="79"/>
        <v>0</v>
      </c>
      <c r="K104" s="30">
        <f>N(0)</f>
        <v>0</v>
      </c>
      <c r="L104" s="30">
        <f t="shared" si="79"/>
        <v>0</v>
      </c>
      <c r="M104" s="30">
        <f t="shared" si="79"/>
        <v>0</v>
      </c>
      <c r="N104" s="30">
        <f>N(676)</f>
        <v>676</v>
      </c>
      <c r="O104" s="30">
        <f t="shared" si="80"/>
        <v>0</v>
      </c>
      <c r="P104" s="169">
        <f>SUM(D104:O104)</f>
        <v>676</v>
      </c>
    </row>
    <row r="105" spans="1:16" outlineLevel="1" collapsed="1">
      <c r="A105" s="22"/>
      <c r="B105" s="35" t="str">
        <f>"    "&amp;"Verktøy, inventar og driftsmateriell"</f>
        <v xml:space="preserve">    Verktøy, inventar og driftsmateriell</v>
      </c>
      <c r="C105" s="36"/>
      <c r="D105" s="33">
        <f t="shared" ref="D105:P105" si="84">SUM(D101:D104)</f>
        <v>29894.39</v>
      </c>
      <c r="E105" s="33">
        <f t="shared" si="84"/>
        <v>143688.73000000001</v>
      </c>
      <c r="F105" s="33">
        <f t="shared" si="84"/>
        <v>1491.31</v>
      </c>
      <c r="G105" s="33">
        <f t="shared" si="84"/>
        <v>0</v>
      </c>
      <c r="H105" s="33">
        <f t="shared" si="84"/>
        <v>18651.88</v>
      </c>
      <c r="I105" s="33">
        <f t="shared" si="84"/>
        <v>15000</v>
      </c>
      <c r="J105" s="33">
        <f t="shared" si="84"/>
        <v>0</v>
      </c>
      <c r="K105" s="33">
        <f t="shared" si="84"/>
        <v>23824.560000000001</v>
      </c>
      <c r="L105" s="33">
        <f t="shared" si="84"/>
        <v>0</v>
      </c>
      <c r="M105" s="33">
        <f t="shared" si="84"/>
        <v>0</v>
      </c>
      <c r="N105" s="33">
        <f t="shared" si="84"/>
        <v>74931.490000000005</v>
      </c>
      <c r="O105" s="33">
        <f t="shared" si="84"/>
        <v>0</v>
      </c>
      <c r="P105" s="170">
        <f t="shared" si="84"/>
        <v>307482.36</v>
      </c>
    </row>
    <row r="106" spans="1:16" hidden="1" outlineLevel="2">
      <c r="A106" s="22"/>
      <c r="B106" s="28">
        <v>6701</v>
      </c>
      <c r="C106" s="29" t="s">
        <v>156</v>
      </c>
      <c r="D106" s="30">
        <f>N(71501)</f>
        <v>71501</v>
      </c>
      <c r="E106" s="30">
        <f>N(231061.5)</f>
        <v>231061.5</v>
      </c>
      <c r="F106" s="30">
        <f t="shared" ref="F106:O108" si="85">N(0)</f>
        <v>0</v>
      </c>
      <c r="G106" s="30">
        <f t="shared" si="85"/>
        <v>0</v>
      </c>
      <c r="H106" s="30">
        <f t="shared" si="85"/>
        <v>0</v>
      </c>
      <c r="I106" s="30">
        <f t="shared" si="85"/>
        <v>0</v>
      </c>
      <c r="J106" s="30">
        <f t="shared" si="85"/>
        <v>0</v>
      </c>
      <c r="K106" s="30">
        <f t="shared" si="85"/>
        <v>0</v>
      </c>
      <c r="L106" s="30">
        <f t="shared" si="85"/>
        <v>0</v>
      </c>
      <c r="M106" s="30">
        <f t="shared" si="85"/>
        <v>0</v>
      </c>
      <c r="N106" s="30">
        <f t="shared" si="85"/>
        <v>0</v>
      </c>
      <c r="O106" s="30">
        <f t="shared" si="85"/>
        <v>0</v>
      </c>
      <c r="P106" s="169">
        <f>SUM(D106:O106)</f>
        <v>302562.5</v>
      </c>
    </row>
    <row r="107" spans="1:16" hidden="1" outlineLevel="2">
      <c r="A107" s="22"/>
      <c r="B107" s="28">
        <v>6705</v>
      </c>
      <c r="C107" s="29" t="s">
        <v>157</v>
      </c>
      <c r="D107" s="30">
        <f>N(0)</f>
        <v>0</v>
      </c>
      <c r="E107" s="30">
        <f>N(1009597)</f>
        <v>1009597</v>
      </c>
      <c r="F107" s="30">
        <f t="shared" si="85"/>
        <v>0</v>
      </c>
      <c r="G107" s="30">
        <f t="shared" si="85"/>
        <v>0</v>
      </c>
      <c r="H107" s="30">
        <f t="shared" si="85"/>
        <v>0</v>
      </c>
      <c r="I107" s="30">
        <f t="shared" si="85"/>
        <v>0</v>
      </c>
      <c r="J107" s="30">
        <f t="shared" si="85"/>
        <v>0</v>
      </c>
      <c r="K107" s="30">
        <f t="shared" si="85"/>
        <v>0</v>
      </c>
      <c r="L107" s="30">
        <f t="shared" si="85"/>
        <v>0</v>
      </c>
      <c r="M107" s="30">
        <f t="shared" si="85"/>
        <v>0</v>
      </c>
      <c r="N107" s="30">
        <f t="shared" si="85"/>
        <v>0</v>
      </c>
      <c r="O107" s="30">
        <f t="shared" si="85"/>
        <v>0</v>
      </c>
      <c r="P107" s="169">
        <f>SUM(D107:O107)</f>
        <v>1009597</v>
      </c>
    </row>
    <row r="108" spans="1:16" hidden="1" outlineLevel="2">
      <c r="A108" s="22"/>
      <c r="B108" s="28">
        <v>6790</v>
      </c>
      <c r="C108" s="29" t="s">
        <v>158</v>
      </c>
      <c r="D108" s="30">
        <f>N(226137.5)</f>
        <v>226137.5</v>
      </c>
      <c r="E108" s="30">
        <f>N(166585.32)</f>
        <v>166585.32</v>
      </c>
      <c r="F108" s="30">
        <f>N(18570.31)</f>
        <v>18570.310000000001</v>
      </c>
      <c r="G108" s="30">
        <f>N(0)</f>
        <v>0</v>
      </c>
      <c r="H108" s="30">
        <f>N(106335.5)</f>
        <v>106335.5</v>
      </c>
      <c r="I108" s="30">
        <f>N(3475)</f>
        <v>3475</v>
      </c>
      <c r="J108" s="30">
        <f t="shared" si="85"/>
        <v>0</v>
      </c>
      <c r="K108" s="30">
        <f>N(107419.25)</f>
        <v>107419.25</v>
      </c>
      <c r="L108" s="30">
        <f>N(0)</f>
        <v>0</v>
      </c>
      <c r="M108" s="30">
        <f>N(163611.74)</f>
        <v>163611.74</v>
      </c>
      <c r="N108" s="30">
        <f>N(30909)</f>
        <v>30909</v>
      </c>
      <c r="O108" s="30">
        <f>N(0)</f>
        <v>0</v>
      </c>
      <c r="P108" s="169">
        <f>SUM(D108:O108)</f>
        <v>823043.62</v>
      </c>
    </row>
    <row r="109" spans="1:16" outlineLevel="1" collapsed="1">
      <c r="A109" s="22"/>
      <c r="B109" s="35" t="str">
        <f>"    "&amp;"Fremmed tjeneste"</f>
        <v xml:space="preserve">    Fremmed tjeneste</v>
      </c>
      <c r="C109" s="36"/>
      <c r="D109" s="33">
        <f t="shared" ref="D109:P109" si="86">SUM(D106:D108)</f>
        <v>297638.5</v>
      </c>
      <c r="E109" s="33">
        <f t="shared" si="86"/>
        <v>1407243.82</v>
      </c>
      <c r="F109" s="33">
        <f t="shared" si="86"/>
        <v>18570.310000000001</v>
      </c>
      <c r="G109" s="33">
        <f t="shared" si="86"/>
        <v>0</v>
      </c>
      <c r="H109" s="33">
        <f t="shared" si="86"/>
        <v>106335.5</v>
      </c>
      <c r="I109" s="33">
        <f t="shared" si="86"/>
        <v>3475</v>
      </c>
      <c r="J109" s="33">
        <f t="shared" si="86"/>
        <v>0</v>
      </c>
      <c r="K109" s="33">
        <f t="shared" si="86"/>
        <v>107419.25</v>
      </c>
      <c r="L109" s="33">
        <f t="shared" si="86"/>
        <v>0</v>
      </c>
      <c r="M109" s="33">
        <f t="shared" si="86"/>
        <v>163611.74</v>
      </c>
      <c r="N109" s="33">
        <f t="shared" si="86"/>
        <v>30909</v>
      </c>
      <c r="O109" s="33">
        <f t="shared" si="86"/>
        <v>0</v>
      </c>
      <c r="P109" s="170">
        <f t="shared" si="86"/>
        <v>2135203.12</v>
      </c>
    </row>
    <row r="110" spans="1:16" hidden="1" outlineLevel="2">
      <c r="A110" s="22"/>
      <c r="B110" s="28">
        <v>6800</v>
      </c>
      <c r="C110" s="29" t="s">
        <v>160</v>
      </c>
      <c r="D110" s="30">
        <f>N(631)</f>
        <v>631</v>
      </c>
      <c r="E110" s="30">
        <f>N(21915.95)</f>
        <v>21915.95</v>
      </c>
      <c r="F110" s="30">
        <f t="shared" ref="F110:G116" si="87">N(0)</f>
        <v>0</v>
      </c>
      <c r="G110" s="30">
        <f t="shared" si="87"/>
        <v>0</v>
      </c>
      <c r="H110" s="30">
        <f>N(1057.9)</f>
        <v>1057.9000000000001</v>
      </c>
      <c r="I110" s="30">
        <f t="shared" ref="I110:J116" si="88">N(0)</f>
        <v>0</v>
      </c>
      <c r="J110" s="30">
        <f t="shared" si="88"/>
        <v>0</v>
      </c>
      <c r="K110" s="30">
        <f>N(279)</f>
        <v>279</v>
      </c>
      <c r="L110" s="30">
        <f t="shared" ref="L110:L116" si="89">N(0)</f>
        <v>0</v>
      </c>
      <c r="M110" s="30">
        <f>N(0)</f>
        <v>0</v>
      </c>
      <c r="N110" s="30">
        <f>N(1304.26)</f>
        <v>1304.26</v>
      </c>
      <c r="O110" s="30">
        <f t="shared" ref="O110:O116" si="90">N(0)</f>
        <v>0</v>
      </c>
      <c r="P110" s="169">
        <f>SUM(D110:O110)</f>
        <v>25188.11</v>
      </c>
    </row>
    <row r="111" spans="1:16" hidden="1" outlineLevel="2">
      <c r="A111" s="22"/>
      <c r="B111" s="28">
        <v>6820</v>
      </c>
      <c r="C111" s="29" t="s">
        <v>161</v>
      </c>
      <c r="D111" s="30">
        <f>N(6250)</f>
        <v>6250</v>
      </c>
      <c r="E111" s="30">
        <f>N(6000)</f>
        <v>6000</v>
      </c>
      <c r="F111" s="30">
        <f>N(32329.68)</f>
        <v>32329.68</v>
      </c>
      <c r="G111" s="30">
        <f t="shared" si="87"/>
        <v>0</v>
      </c>
      <c r="H111" s="30">
        <f>N(3826.25)</f>
        <v>3826.25</v>
      </c>
      <c r="I111" s="30">
        <f t="shared" si="88"/>
        <v>0</v>
      </c>
      <c r="J111" s="30">
        <f t="shared" si="88"/>
        <v>0</v>
      </c>
      <c r="K111" s="30">
        <f>N(0)</f>
        <v>0</v>
      </c>
      <c r="L111" s="30">
        <f t="shared" si="89"/>
        <v>0</v>
      </c>
      <c r="M111" s="30">
        <f>N(30618.75)</f>
        <v>30618.75</v>
      </c>
      <c r="N111" s="30">
        <f>N(13671)</f>
        <v>13671</v>
      </c>
      <c r="O111" s="30">
        <f t="shared" si="90"/>
        <v>0</v>
      </c>
      <c r="P111" s="169">
        <f>SUM(D111:O111)</f>
        <v>92695.679999999993</v>
      </c>
    </row>
    <row r="112" spans="1:16" hidden="1" outlineLevel="2">
      <c r="A112" s="22"/>
      <c r="B112" s="28">
        <v>6840</v>
      </c>
      <c r="C112" s="29" t="s">
        <v>162</v>
      </c>
      <c r="D112" s="30">
        <f>N(2069.22)</f>
        <v>2069.2199999999998</v>
      </c>
      <c r="E112" s="30">
        <f>N(16658)</f>
        <v>16658</v>
      </c>
      <c r="F112" s="30">
        <f t="shared" ref="F112:F113" si="91">N(0)</f>
        <v>0</v>
      </c>
      <c r="G112" s="30">
        <f t="shared" si="87"/>
        <v>0</v>
      </c>
      <c r="H112" s="30">
        <f>N(2970)</f>
        <v>2970</v>
      </c>
      <c r="I112" s="30">
        <f t="shared" si="88"/>
        <v>0</v>
      </c>
      <c r="J112" s="30">
        <f t="shared" si="88"/>
        <v>0</v>
      </c>
      <c r="K112" s="30">
        <f>N(6833.4)</f>
        <v>6833.4</v>
      </c>
      <c r="L112" s="30">
        <f t="shared" si="89"/>
        <v>0</v>
      </c>
      <c r="M112" s="30">
        <f>N(3360)</f>
        <v>3360</v>
      </c>
      <c r="N112" s="30">
        <f>N(2424)</f>
        <v>2424</v>
      </c>
      <c r="O112" s="30">
        <f t="shared" si="90"/>
        <v>0</v>
      </c>
      <c r="P112" s="169">
        <f>SUM(D112:O112)</f>
        <v>34314.620000000003</v>
      </c>
    </row>
    <row r="113" spans="1:16" hidden="1" outlineLevel="2">
      <c r="A113" s="22"/>
      <c r="B113" s="28">
        <v>6842</v>
      </c>
      <c r="C113" s="29" t="s">
        <v>163</v>
      </c>
      <c r="D113" s="30">
        <f>N(598)</f>
        <v>598</v>
      </c>
      <c r="E113" s="30">
        <f>N(0)</f>
        <v>0</v>
      </c>
      <c r="F113" s="30">
        <f t="shared" si="91"/>
        <v>0</v>
      </c>
      <c r="G113" s="30">
        <f t="shared" si="87"/>
        <v>0</v>
      </c>
      <c r="H113" s="30">
        <f>N(0)</f>
        <v>0</v>
      </c>
      <c r="I113" s="30">
        <f t="shared" si="88"/>
        <v>0</v>
      </c>
      <c r="J113" s="30">
        <f t="shared" si="88"/>
        <v>0</v>
      </c>
      <c r="K113" s="30">
        <f>N(299)</f>
        <v>299</v>
      </c>
      <c r="L113" s="30">
        <f t="shared" si="89"/>
        <v>0</v>
      </c>
      <c r="M113" s="30">
        <f>N(0)</f>
        <v>0</v>
      </c>
      <c r="N113" s="30">
        <f>N(299)</f>
        <v>299</v>
      </c>
      <c r="O113" s="30">
        <f t="shared" si="90"/>
        <v>0</v>
      </c>
      <c r="P113" s="169">
        <f>SUM(D113:O113)</f>
        <v>1196</v>
      </c>
    </row>
    <row r="114" spans="1:16" hidden="1" outlineLevel="2">
      <c r="A114" s="22"/>
      <c r="B114" s="28">
        <v>6860</v>
      </c>
      <c r="C114" s="29" t="s">
        <v>164</v>
      </c>
      <c r="D114" s="30">
        <f>N(33931.95)</f>
        <v>33931.949999999997</v>
      </c>
      <c r="E114" s="30">
        <f>N(30892.26)</f>
        <v>30892.26</v>
      </c>
      <c r="F114" s="30">
        <f>N(4600)</f>
        <v>4600</v>
      </c>
      <c r="G114" s="30">
        <f t="shared" si="87"/>
        <v>0</v>
      </c>
      <c r="H114" s="30">
        <f>N(1000)</f>
        <v>1000</v>
      </c>
      <c r="I114" s="30">
        <f t="shared" si="88"/>
        <v>0</v>
      </c>
      <c r="J114" s="30">
        <f t="shared" si="88"/>
        <v>0</v>
      </c>
      <c r="K114" s="30">
        <f>N(34376.85)</f>
        <v>34376.85</v>
      </c>
      <c r="L114" s="30">
        <f t="shared" si="89"/>
        <v>0</v>
      </c>
      <c r="M114" s="30">
        <f>N(32734.38)</f>
        <v>32734.38</v>
      </c>
      <c r="N114" s="30">
        <f>N(90982)</f>
        <v>90982</v>
      </c>
      <c r="O114" s="30">
        <f t="shared" si="90"/>
        <v>0</v>
      </c>
      <c r="P114" s="169">
        <f>SUM(D114:O114)</f>
        <v>228517.44</v>
      </c>
    </row>
    <row r="115" spans="1:16" hidden="1" outlineLevel="2">
      <c r="A115" s="22"/>
      <c r="B115" s="28">
        <v>6870</v>
      </c>
      <c r="C115" s="29" t="s">
        <v>165</v>
      </c>
      <c r="D115" s="30">
        <f>N(1630.8)</f>
        <v>1630.8</v>
      </c>
      <c r="E115" s="30">
        <f>N(542.99)</f>
        <v>542.99</v>
      </c>
      <c r="F115" s="30">
        <f t="shared" ref="F115:F116" si="92">N(0)</f>
        <v>0</v>
      </c>
      <c r="G115" s="30">
        <f t="shared" si="87"/>
        <v>0</v>
      </c>
      <c r="H115" s="30">
        <f>N(565.98)</f>
        <v>565.98</v>
      </c>
      <c r="I115" s="30">
        <f t="shared" si="88"/>
        <v>0</v>
      </c>
      <c r="J115" s="30">
        <f t="shared" si="88"/>
        <v>0</v>
      </c>
      <c r="K115" s="30">
        <f>N(712)</f>
        <v>712</v>
      </c>
      <c r="L115" s="30">
        <f t="shared" si="89"/>
        <v>0</v>
      </c>
      <c r="M115" s="30">
        <f>N(0)</f>
        <v>0</v>
      </c>
      <c r="N115" s="30">
        <f>N(573.48)</f>
        <v>573.48</v>
      </c>
      <c r="O115" s="30">
        <f t="shared" si="90"/>
        <v>0</v>
      </c>
      <c r="P115" s="169">
        <f>SUM(D115:O115)</f>
        <v>4025.25</v>
      </c>
    </row>
    <row r="116" spans="1:16" hidden="1" outlineLevel="2">
      <c r="A116" s="22"/>
      <c r="B116" s="28">
        <v>6890</v>
      </c>
      <c r="C116" s="29" t="s">
        <v>166</v>
      </c>
      <c r="D116" s="30">
        <f>N(0)</f>
        <v>0</v>
      </c>
      <c r="E116" s="30">
        <f>N(10594.39)</f>
        <v>10594.39</v>
      </c>
      <c r="F116" s="30">
        <f t="shared" si="92"/>
        <v>0</v>
      </c>
      <c r="G116" s="30">
        <f t="shared" si="87"/>
        <v>0</v>
      </c>
      <c r="H116" s="30">
        <f>N(0)</f>
        <v>0</v>
      </c>
      <c r="I116" s="30">
        <f t="shared" si="88"/>
        <v>0</v>
      </c>
      <c r="J116" s="30">
        <f t="shared" si="88"/>
        <v>0</v>
      </c>
      <c r="K116" s="30">
        <f>N(21832.33)</f>
        <v>21832.33</v>
      </c>
      <c r="L116" s="30">
        <f t="shared" si="89"/>
        <v>0</v>
      </c>
      <c r="M116" s="30">
        <f>N(2252.76)</f>
        <v>2252.7600000000002</v>
      </c>
      <c r="N116" s="30">
        <f>N(1000)</f>
        <v>1000</v>
      </c>
      <c r="O116" s="30">
        <f t="shared" si="90"/>
        <v>0</v>
      </c>
      <c r="P116" s="169">
        <f>SUM(D116:O116)</f>
        <v>35679.480000000003</v>
      </c>
    </row>
    <row r="117" spans="1:16" outlineLevel="1" collapsed="1">
      <c r="A117" s="22"/>
      <c r="B117" s="35" t="str">
        <f>"    "&amp;"Kontor, oppdatering o.l."</f>
        <v xml:space="preserve">    Kontor, oppdatering o.l.</v>
      </c>
      <c r="C117" s="36"/>
      <c r="D117" s="33">
        <f t="shared" ref="D117:P117" si="93">SUM(D110:D116)</f>
        <v>45110.97</v>
      </c>
      <c r="E117" s="33">
        <f t="shared" si="93"/>
        <v>86603.59</v>
      </c>
      <c r="F117" s="33">
        <f t="shared" si="93"/>
        <v>36929.68</v>
      </c>
      <c r="G117" s="33">
        <f t="shared" si="93"/>
        <v>0</v>
      </c>
      <c r="H117" s="33">
        <f t="shared" si="93"/>
        <v>9420.1299999999992</v>
      </c>
      <c r="I117" s="33">
        <f t="shared" si="93"/>
        <v>0</v>
      </c>
      <c r="J117" s="33">
        <f t="shared" si="93"/>
        <v>0</v>
      </c>
      <c r="K117" s="33">
        <f t="shared" si="93"/>
        <v>64332.58</v>
      </c>
      <c r="L117" s="33">
        <f t="shared" si="93"/>
        <v>0</v>
      </c>
      <c r="M117" s="33">
        <f t="shared" si="93"/>
        <v>68965.89</v>
      </c>
      <c r="N117" s="33">
        <f t="shared" si="93"/>
        <v>110253.74</v>
      </c>
      <c r="O117" s="33">
        <f t="shared" si="93"/>
        <v>0</v>
      </c>
      <c r="P117" s="170">
        <f t="shared" si="93"/>
        <v>421616.57999999996</v>
      </c>
    </row>
    <row r="118" spans="1:16" hidden="1" outlineLevel="2">
      <c r="A118" s="22"/>
      <c r="B118" s="28">
        <v>6900</v>
      </c>
      <c r="C118" s="29" t="s">
        <v>167</v>
      </c>
      <c r="D118" s="30">
        <f>N(30023.53)</f>
        <v>30023.53</v>
      </c>
      <c r="E118" s="30">
        <f>N(24038.36)</f>
        <v>24038.36</v>
      </c>
      <c r="F118" s="30">
        <f>N(161.68)</f>
        <v>161.68</v>
      </c>
      <c r="G118" s="30">
        <f t="shared" ref="G118:I122" si="94">N(0)</f>
        <v>0</v>
      </c>
      <c r="H118" s="30">
        <f t="shared" si="94"/>
        <v>0</v>
      </c>
      <c r="I118" s="30">
        <f>N(7750)</f>
        <v>7750</v>
      </c>
      <c r="J118" s="30">
        <f t="shared" ref="J118:K122" si="95">N(0)</f>
        <v>0</v>
      </c>
      <c r="K118" s="30">
        <f>N(8347.26)</f>
        <v>8347.26</v>
      </c>
      <c r="L118" s="30">
        <f t="shared" ref="L118:N122" si="96">N(0)</f>
        <v>0</v>
      </c>
      <c r="M118" s="30">
        <f>N(3055.05)</f>
        <v>3055.05</v>
      </c>
      <c r="N118" s="30">
        <f>N(7250.3)</f>
        <v>7250.3</v>
      </c>
      <c r="O118" s="30">
        <f t="shared" ref="O118:O121" si="97">N(0)</f>
        <v>0</v>
      </c>
      <c r="P118" s="169">
        <f>SUM(D118:O118)</f>
        <v>80626.180000000008</v>
      </c>
    </row>
    <row r="119" spans="1:16" hidden="1" outlineLevel="2">
      <c r="A119" s="22"/>
      <c r="B119" s="28">
        <v>6901</v>
      </c>
      <c r="C119" s="29" t="s">
        <v>168</v>
      </c>
      <c r="D119" s="30">
        <f t="shared" ref="D119:D120" si="98">N(0)</f>
        <v>0</v>
      </c>
      <c r="E119" s="30">
        <f>N(0)</f>
        <v>0</v>
      </c>
      <c r="F119" s="30">
        <f>N(200.85)</f>
        <v>200.85</v>
      </c>
      <c r="G119" s="30">
        <f t="shared" si="94"/>
        <v>0</v>
      </c>
      <c r="H119" s="30">
        <f t="shared" si="94"/>
        <v>0</v>
      </c>
      <c r="I119" s="30">
        <f t="shared" si="94"/>
        <v>0</v>
      </c>
      <c r="J119" s="30">
        <f t="shared" si="95"/>
        <v>0</v>
      </c>
      <c r="K119" s="30">
        <f t="shared" si="95"/>
        <v>0</v>
      </c>
      <c r="L119" s="30">
        <f t="shared" si="96"/>
        <v>0</v>
      </c>
      <c r="M119" s="30">
        <f t="shared" si="96"/>
        <v>0</v>
      </c>
      <c r="N119" s="30">
        <f>N(0)</f>
        <v>0</v>
      </c>
      <c r="O119" s="30">
        <f t="shared" si="97"/>
        <v>0</v>
      </c>
      <c r="P119" s="169">
        <f>SUM(D119:O119)</f>
        <v>200.85</v>
      </c>
    </row>
    <row r="120" spans="1:16" hidden="1" outlineLevel="2">
      <c r="A120" s="22"/>
      <c r="B120" s="28">
        <v>6902</v>
      </c>
      <c r="C120" s="29" t="s">
        <v>169</v>
      </c>
      <c r="D120" s="30">
        <f t="shared" si="98"/>
        <v>0</v>
      </c>
      <c r="E120" s="30">
        <f>N(7461)</f>
        <v>7461</v>
      </c>
      <c r="F120" s="30">
        <f>N(0)</f>
        <v>0</v>
      </c>
      <c r="G120" s="30">
        <f t="shared" si="94"/>
        <v>0</v>
      </c>
      <c r="H120" s="30">
        <f t="shared" si="94"/>
        <v>0</v>
      </c>
      <c r="I120" s="30">
        <f t="shared" si="94"/>
        <v>0</v>
      </c>
      <c r="J120" s="30">
        <f t="shared" si="95"/>
        <v>0</v>
      </c>
      <c r="K120" s="30">
        <f t="shared" si="95"/>
        <v>0</v>
      </c>
      <c r="L120" s="30">
        <f t="shared" si="96"/>
        <v>0</v>
      </c>
      <c r="M120" s="30">
        <f t="shared" si="96"/>
        <v>0</v>
      </c>
      <c r="N120" s="30">
        <f>N(3125)</f>
        <v>3125</v>
      </c>
      <c r="O120" s="30">
        <f t="shared" si="97"/>
        <v>0</v>
      </c>
      <c r="P120" s="169">
        <f>SUM(D120:O120)</f>
        <v>10586</v>
      </c>
    </row>
    <row r="121" spans="1:16" hidden="1" outlineLevel="2">
      <c r="A121" s="22"/>
      <c r="B121" s="28">
        <v>6905</v>
      </c>
      <c r="C121" s="29" t="s">
        <v>170</v>
      </c>
      <c r="D121" s="30">
        <f>N(2560)</f>
        <v>2560</v>
      </c>
      <c r="E121" s="30">
        <f>N(34365.9)</f>
        <v>34365.9</v>
      </c>
      <c r="F121" s="30">
        <f>N(13512.54)</f>
        <v>13512.54</v>
      </c>
      <c r="G121" s="30">
        <f t="shared" si="94"/>
        <v>0</v>
      </c>
      <c r="H121" s="30">
        <f t="shared" si="94"/>
        <v>0</v>
      </c>
      <c r="I121" s="30">
        <f>N(10723.73)</f>
        <v>10723.73</v>
      </c>
      <c r="J121" s="30">
        <f t="shared" si="95"/>
        <v>0</v>
      </c>
      <c r="K121" s="30">
        <f>N(435)</f>
        <v>435</v>
      </c>
      <c r="L121" s="30">
        <f t="shared" si="96"/>
        <v>0</v>
      </c>
      <c r="M121" s="30">
        <f t="shared" si="96"/>
        <v>0</v>
      </c>
      <c r="N121" s="30">
        <f t="shared" si="96"/>
        <v>0</v>
      </c>
      <c r="O121" s="30">
        <f t="shared" si="97"/>
        <v>0</v>
      </c>
      <c r="P121" s="169">
        <f>SUM(D121:O121)</f>
        <v>61597.17</v>
      </c>
    </row>
    <row r="122" spans="1:16" hidden="1" outlineLevel="2">
      <c r="A122" s="22"/>
      <c r="B122" s="28">
        <v>6940</v>
      </c>
      <c r="C122" s="29" t="s">
        <v>171</v>
      </c>
      <c r="D122" s="30">
        <f>N(15565.86)</f>
        <v>15565.86</v>
      </c>
      <c r="E122" s="30">
        <f>N(21658.86)</f>
        <v>21658.86</v>
      </c>
      <c r="F122" s="30">
        <f>N(429)</f>
        <v>429</v>
      </c>
      <c r="G122" s="30">
        <f t="shared" si="94"/>
        <v>0</v>
      </c>
      <c r="H122" s="30">
        <f t="shared" si="94"/>
        <v>0</v>
      </c>
      <c r="I122" s="30">
        <f>N(3888)</f>
        <v>3888</v>
      </c>
      <c r="J122" s="30">
        <f t="shared" si="95"/>
        <v>0</v>
      </c>
      <c r="K122" s="30">
        <f>N(0)</f>
        <v>0</v>
      </c>
      <c r="L122" s="30">
        <f t="shared" si="96"/>
        <v>0</v>
      </c>
      <c r="M122" s="30">
        <f t="shared" si="96"/>
        <v>0</v>
      </c>
      <c r="N122" s="30">
        <f t="shared" si="96"/>
        <v>0</v>
      </c>
      <c r="O122" s="30">
        <f>N(2330)</f>
        <v>2330</v>
      </c>
      <c r="P122" s="169">
        <f>SUM(D122:O122)</f>
        <v>43871.72</v>
      </c>
    </row>
    <row r="123" spans="1:16" outlineLevel="1" collapsed="1">
      <c r="A123" s="22"/>
      <c r="B123" s="35" t="str">
        <f>"    "&amp;"Telefon og porto o.l."</f>
        <v xml:space="preserve">    Telefon og porto o.l.</v>
      </c>
      <c r="C123" s="36"/>
      <c r="D123" s="33">
        <f t="shared" ref="D123:P123" si="99">SUM(D118:D122)</f>
        <v>48149.39</v>
      </c>
      <c r="E123" s="33">
        <f t="shared" si="99"/>
        <v>87524.12000000001</v>
      </c>
      <c r="F123" s="33">
        <f t="shared" si="99"/>
        <v>14304.070000000002</v>
      </c>
      <c r="G123" s="33">
        <f t="shared" si="99"/>
        <v>0</v>
      </c>
      <c r="H123" s="33">
        <f t="shared" si="99"/>
        <v>0</v>
      </c>
      <c r="I123" s="33">
        <f t="shared" si="99"/>
        <v>22361.73</v>
      </c>
      <c r="J123" s="33">
        <f t="shared" si="99"/>
        <v>0</v>
      </c>
      <c r="K123" s="33">
        <f t="shared" si="99"/>
        <v>8782.26</v>
      </c>
      <c r="L123" s="33">
        <f t="shared" si="99"/>
        <v>0</v>
      </c>
      <c r="M123" s="33">
        <f t="shared" si="99"/>
        <v>3055.05</v>
      </c>
      <c r="N123" s="33">
        <f t="shared" si="99"/>
        <v>10375.299999999999</v>
      </c>
      <c r="O123" s="33">
        <f t="shared" si="99"/>
        <v>2330</v>
      </c>
      <c r="P123" s="170">
        <f t="shared" si="99"/>
        <v>196881.92000000001</v>
      </c>
    </row>
    <row r="124" spans="1:16" hidden="1" outlineLevel="2">
      <c r="A124" s="22"/>
      <c r="B124" s="28">
        <v>7171</v>
      </c>
      <c r="C124" s="29" t="s">
        <v>172</v>
      </c>
      <c r="D124" s="30">
        <f>N(2210)</f>
        <v>2210</v>
      </c>
      <c r="E124" s="30">
        <f t="shared" ref="E124:O128" si="100">N(0)</f>
        <v>0</v>
      </c>
      <c r="F124" s="30">
        <f t="shared" si="100"/>
        <v>0</v>
      </c>
      <c r="G124" s="30">
        <f t="shared" si="100"/>
        <v>0</v>
      </c>
      <c r="H124" s="30">
        <f t="shared" si="100"/>
        <v>0</v>
      </c>
      <c r="I124" s="30">
        <f t="shared" si="100"/>
        <v>0</v>
      </c>
      <c r="J124" s="30">
        <f t="shared" si="100"/>
        <v>0</v>
      </c>
      <c r="K124" s="30">
        <f t="shared" si="100"/>
        <v>0</v>
      </c>
      <c r="L124" s="30">
        <f t="shared" si="100"/>
        <v>0</v>
      </c>
      <c r="M124" s="30">
        <f t="shared" si="100"/>
        <v>0</v>
      </c>
      <c r="N124" s="30">
        <f t="shared" si="100"/>
        <v>0</v>
      </c>
      <c r="O124" s="30">
        <f t="shared" si="100"/>
        <v>0</v>
      </c>
      <c r="P124" s="169">
        <f>SUM(D124:O124)</f>
        <v>2210</v>
      </c>
    </row>
    <row r="125" spans="1:16" hidden="1" outlineLevel="2">
      <c r="A125" s="22"/>
      <c r="B125" s="28">
        <v>7730</v>
      </c>
      <c r="C125" s="29" t="s">
        <v>173</v>
      </c>
      <c r="D125" s="30">
        <f>N(4600775.46)</f>
        <v>4600775.46</v>
      </c>
      <c r="E125" s="30">
        <f t="shared" si="100"/>
        <v>0</v>
      </c>
      <c r="F125" s="30">
        <f t="shared" si="100"/>
        <v>0</v>
      </c>
      <c r="G125" s="30">
        <f t="shared" si="100"/>
        <v>0</v>
      </c>
      <c r="H125" s="30">
        <f t="shared" si="100"/>
        <v>0</v>
      </c>
      <c r="I125" s="30">
        <f t="shared" si="100"/>
        <v>0</v>
      </c>
      <c r="J125" s="30">
        <f t="shared" si="100"/>
        <v>0</v>
      </c>
      <c r="K125" s="30">
        <f t="shared" si="100"/>
        <v>0</v>
      </c>
      <c r="L125" s="30">
        <f t="shared" si="100"/>
        <v>0</v>
      </c>
      <c r="M125" s="30">
        <f t="shared" si="100"/>
        <v>0</v>
      </c>
      <c r="N125" s="30">
        <f t="shared" si="100"/>
        <v>0</v>
      </c>
      <c r="O125" s="30">
        <f t="shared" si="100"/>
        <v>0</v>
      </c>
      <c r="P125" s="169">
        <f>SUM(D125:O125)</f>
        <v>4600775.46</v>
      </c>
    </row>
    <row r="126" spans="1:16" hidden="1" outlineLevel="2">
      <c r="A126" s="22"/>
      <c r="B126" s="28">
        <v>7731</v>
      </c>
      <c r="C126" s="29" t="s">
        <v>174</v>
      </c>
      <c r="D126" s="30">
        <f>N(1764239.66)</f>
        <v>1764239.66</v>
      </c>
      <c r="E126" s="30">
        <f t="shared" si="100"/>
        <v>0</v>
      </c>
      <c r="F126" s="30">
        <f t="shared" si="100"/>
        <v>0</v>
      </c>
      <c r="G126" s="30">
        <f t="shared" si="100"/>
        <v>0</v>
      </c>
      <c r="H126" s="30">
        <f t="shared" si="100"/>
        <v>0</v>
      </c>
      <c r="I126" s="30">
        <f t="shared" si="100"/>
        <v>0</v>
      </c>
      <c r="J126" s="30">
        <f t="shared" si="100"/>
        <v>0</v>
      </c>
      <c r="K126" s="30">
        <f t="shared" si="100"/>
        <v>0</v>
      </c>
      <c r="L126" s="30">
        <f t="shared" si="100"/>
        <v>0</v>
      </c>
      <c r="M126" s="30">
        <f t="shared" si="100"/>
        <v>0</v>
      </c>
      <c r="N126" s="30">
        <f t="shared" si="100"/>
        <v>0</v>
      </c>
      <c r="O126" s="30">
        <f t="shared" si="100"/>
        <v>0</v>
      </c>
      <c r="P126" s="169">
        <f>SUM(D126:O126)</f>
        <v>1764239.66</v>
      </c>
    </row>
    <row r="127" spans="1:16" hidden="1" outlineLevel="2">
      <c r="A127" s="22"/>
      <c r="B127" s="28">
        <v>7733</v>
      </c>
      <c r="C127" s="29" t="s">
        <v>336</v>
      </c>
      <c r="D127" s="30">
        <f>N(92257.34)</f>
        <v>92257.34</v>
      </c>
      <c r="E127" s="30">
        <f t="shared" si="100"/>
        <v>0</v>
      </c>
      <c r="F127" s="30">
        <f t="shared" si="100"/>
        <v>0</v>
      </c>
      <c r="G127" s="30">
        <f t="shared" si="100"/>
        <v>0</v>
      </c>
      <c r="H127" s="30">
        <f t="shared" si="100"/>
        <v>0</v>
      </c>
      <c r="I127" s="30">
        <f t="shared" si="100"/>
        <v>0</v>
      </c>
      <c r="J127" s="30">
        <f t="shared" si="100"/>
        <v>0</v>
      </c>
      <c r="K127" s="30">
        <f t="shared" si="100"/>
        <v>0</v>
      </c>
      <c r="L127" s="30">
        <f t="shared" si="100"/>
        <v>0</v>
      </c>
      <c r="M127" s="30">
        <f t="shared" si="100"/>
        <v>0</v>
      </c>
      <c r="N127" s="30">
        <f t="shared" si="100"/>
        <v>0</v>
      </c>
      <c r="O127" s="30">
        <f t="shared" si="100"/>
        <v>0</v>
      </c>
      <c r="P127" s="169">
        <f>SUM(D127:O127)</f>
        <v>92257.34</v>
      </c>
    </row>
    <row r="128" spans="1:16" hidden="1" outlineLevel="2">
      <c r="A128" s="22"/>
      <c r="B128" s="28">
        <v>7735</v>
      </c>
      <c r="C128" s="29" t="s">
        <v>175</v>
      </c>
      <c r="D128" s="30">
        <f>N(1480939.32)</f>
        <v>1480939.32</v>
      </c>
      <c r="E128" s="30">
        <f t="shared" si="100"/>
        <v>0</v>
      </c>
      <c r="F128" s="30">
        <f t="shared" si="100"/>
        <v>0</v>
      </c>
      <c r="G128" s="30">
        <f t="shared" si="100"/>
        <v>0</v>
      </c>
      <c r="H128" s="30">
        <f t="shared" si="100"/>
        <v>0</v>
      </c>
      <c r="I128" s="30">
        <f t="shared" si="100"/>
        <v>0</v>
      </c>
      <c r="J128" s="30">
        <f t="shared" si="100"/>
        <v>0</v>
      </c>
      <c r="K128" s="30">
        <f t="shared" si="100"/>
        <v>0</v>
      </c>
      <c r="L128" s="30">
        <f t="shared" si="100"/>
        <v>0</v>
      </c>
      <c r="M128" s="30">
        <f t="shared" si="100"/>
        <v>0</v>
      </c>
      <c r="N128" s="30">
        <f t="shared" si="100"/>
        <v>0</v>
      </c>
      <c r="O128" s="30">
        <f t="shared" si="100"/>
        <v>0</v>
      </c>
      <c r="P128" s="169">
        <f>SUM(D128:O128)</f>
        <v>1480939.32</v>
      </c>
    </row>
    <row r="129" spans="1:16" outlineLevel="1" collapsed="1">
      <c r="A129" s="22"/>
      <c r="B129" s="35" t="str">
        <f>"    "&amp;"Evangelisering og misjon"</f>
        <v xml:space="preserve">    Evangelisering og misjon</v>
      </c>
      <c r="C129" s="36"/>
      <c r="D129" s="33">
        <f t="shared" ref="D129:P129" si="101">SUM(D124:D128)</f>
        <v>7940421.7800000003</v>
      </c>
      <c r="E129" s="33">
        <f t="shared" si="101"/>
        <v>0</v>
      </c>
      <c r="F129" s="33">
        <f t="shared" si="101"/>
        <v>0</v>
      </c>
      <c r="G129" s="33">
        <f t="shared" si="101"/>
        <v>0</v>
      </c>
      <c r="H129" s="33">
        <f t="shared" si="101"/>
        <v>0</v>
      </c>
      <c r="I129" s="33">
        <f t="shared" si="101"/>
        <v>0</v>
      </c>
      <c r="J129" s="33">
        <f t="shared" si="101"/>
        <v>0</v>
      </c>
      <c r="K129" s="33">
        <f t="shared" si="101"/>
        <v>0</v>
      </c>
      <c r="L129" s="33">
        <f t="shared" si="101"/>
        <v>0</v>
      </c>
      <c r="M129" s="33">
        <f t="shared" si="101"/>
        <v>0</v>
      </c>
      <c r="N129" s="33">
        <f t="shared" si="101"/>
        <v>0</v>
      </c>
      <c r="O129" s="33">
        <f t="shared" si="101"/>
        <v>0</v>
      </c>
      <c r="P129" s="170">
        <f t="shared" si="101"/>
        <v>7940421.7800000003</v>
      </c>
    </row>
    <row r="130" spans="1:16" hidden="1" outlineLevel="2">
      <c r="A130" s="22"/>
      <c r="B130" s="28">
        <v>7100</v>
      </c>
      <c r="C130" s="29" t="s">
        <v>176</v>
      </c>
      <c r="D130" s="30">
        <f>N(14010.95)</f>
        <v>14010.95</v>
      </c>
      <c r="E130" s="30">
        <f t="shared" ref="E130:H136" si="102">N(0)</f>
        <v>0</v>
      </c>
      <c r="F130" s="30">
        <f t="shared" si="102"/>
        <v>0</v>
      </c>
      <c r="G130" s="30">
        <f t="shared" si="102"/>
        <v>0</v>
      </c>
      <c r="H130" s="30">
        <f>N(26011.82)</f>
        <v>26011.82</v>
      </c>
      <c r="I130" s="30">
        <f t="shared" ref="I130:K136" si="103">N(0)</f>
        <v>0</v>
      </c>
      <c r="J130" s="30">
        <f t="shared" si="103"/>
        <v>0</v>
      </c>
      <c r="K130" s="30">
        <f>N(9305)</f>
        <v>9305</v>
      </c>
      <c r="L130" s="30">
        <f t="shared" ref="L130:L136" si="104">N(0)</f>
        <v>0</v>
      </c>
      <c r="M130" s="30">
        <f>N(28747.6)</f>
        <v>28747.599999999999</v>
      </c>
      <c r="N130" s="30">
        <f>N(24649.3)</f>
        <v>24649.3</v>
      </c>
      <c r="O130" s="30">
        <f t="shared" ref="O130:O136" si="105">N(0)</f>
        <v>0</v>
      </c>
      <c r="P130" s="169">
        <f>SUM(D130:O130)</f>
        <v>102724.67</v>
      </c>
    </row>
    <row r="131" spans="1:16" hidden="1" outlineLevel="2">
      <c r="A131" s="22"/>
      <c r="B131" s="28">
        <v>7101</v>
      </c>
      <c r="C131" s="29" t="s">
        <v>177</v>
      </c>
      <c r="D131" s="30">
        <f>N(89798.8)</f>
        <v>89798.8</v>
      </c>
      <c r="E131" s="30">
        <f>N(11432.9)</f>
        <v>11432.9</v>
      </c>
      <c r="F131" s="30">
        <f>N(1372)</f>
        <v>1372</v>
      </c>
      <c r="G131" s="30">
        <f t="shared" si="102"/>
        <v>0</v>
      </c>
      <c r="H131" s="30">
        <f>N(9683.5)</f>
        <v>9683.5</v>
      </c>
      <c r="I131" s="30">
        <f t="shared" si="103"/>
        <v>0</v>
      </c>
      <c r="J131" s="30">
        <f t="shared" si="103"/>
        <v>0</v>
      </c>
      <c r="K131" s="30">
        <f>N(79144.9)</f>
        <v>79144.899999999994</v>
      </c>
      <c r="L131" s="30">
        <f t="shared" si="104"/>
        <v>0</v>
      </c>
      <c r="M131" s="30">
        <f>N(27443.05)</f>
        <v>27443.05</v>
      </c>
      <c r="N131" s="30">
        <f>N(37375.85)</f>
        <v>37375.85</v>
      </c>
      <c r="O131" s="30">
        <f t="shared" si="105"/>
        <v>0</v>
      </c>
      <c r="P131" s="169">
        <f>SUM(D131:O131)</f>
        <v>256250.99999999997</v>
      </c>
    </row>
    <row r="132" spans="1:16" hidden="1" outlineLevel="2">
      <c r="A132" s="22"/>
      <c r="B132" s="28">
        <v>7140</v>
      </c>
      <c r="C132" s="29" t="s">
        <v>178</v>
      </c>
      <c r="D132" s="30">
        <f>N(264710.97)</f>
        <v>264710.96999999997</v>
      </c>
      <c r="E132" s="30">
        <f>N(53945.58)</f>
        <v>53945.58</v>
      </c>
      <c r="F132" s="30">
        <f>N(6622)</f>
        <v>6622</v>
      </c>
      <c r="G132" s="30">
        <f t="shared" si="102"/>
        <v>0</v>
      </c>
      <c r="H132" s="30">
        <f>N(8998.78)</f>
        <v>8998.7800000000007</v>
      </c>
      <c r="I132" s="30">
        <f t="shared" si="103"/>
        <v>0</v>
      </c>
      <c r="J132" s="30">
        <f t="shared" si="103"/>
        <v>0</v>
      </c>
      <c r="K132" s="30">
        <f>N(230603.77)</f>
        <v>230603.77</v>
      </c>
      <c r="L132" s="30">
        <f t="shared" si="104"/>
        <v>0</v>
      </c>
      <c r="M132" s="30">
        <f>N(416006.58)</f>
        <v>416006.58</v>
      </c>
      <c r="N132" s="30">
        <f>N(339819.84)</f>
        <v>339819.84</v>
      </c>
      <c r="O132" s="30">
        <f t="shared" si="105"/>
        <v>0</v>
      </c>
      <c r="P132" s="169">
        <f>SUM(D132:O132)</f>
        <v>1320707.52</v>
      </c>
    </row>
    <row r="133" spans="1:16" hidden="1" outlineLevel="2">
      <c r="A133" s="22"/>
      <c r="B133" s="28">
        <v>7141</v>
      </c>
      <c r="C133" s="29" t="s">
        <v>179</v>
      </c>
      <c r="D133" s="30">
        <f>N(470332.86)</f>
        <v>470332.86</v>
      </c>
      <c r="E133" s="30">
        <f>N(16117.76)</f>
        <v>16117.76</v>
      </c>
      <c r="F133" s="30">
        <f>N(943)</f>
        <v>943</v>
      </c>
      <c r="G133" s="30">
        <f t="shared" si="102"/>
        <v>0</v>
      </c>
      <c r="H133" s="30">
        <f t="shared" si="102"/>
        <v>0</v>
      </c>
      <c r="I133" s="30">
        <f t="shared" si="103"/>
        <v>0</v>
      </c>
      <c r="J133" s="30">
        <f t="shared" si="103"/>
        <v>0</v>
      </c>
      <c r="K133" s="30">
        <f>N(5818.29)</f>
        <v>5818.29</v>
      </c>
      <c r="L133" s="30">
        <f t="shared" si="104"/>
        <v>0</v>
      </c>
      <c r="M133" s="30">
        <f>N(197371.53)</f>
        <v>197371.53</v>
      </c>
      <c r="N133" s="30">
        <f>N(56699.88)</f>
        <v>56699.88</v>
      </c>
      <c r="O133" s="30">
        <f t="shared" si="105"/>
        <v>0</v>
      </c>
      <c r="P133" s="169">
        <f>SUM(D133:O133)</f>
        <v>747283.32</v>
      </c>
    </row>
    <row r="134" spans="1:16" hidden="1" outlineLevel="2">
      <c r="A134" s="22"/>
      <c r="B134" s="28">
        <v>7150</v>
      </c>
      <c r="C134" s="29" t="s">
        <v>180</v>
      </c>
      <c r="D134" s="30">
        <f>N(9198.25)</f>
        <v>9198.25</v>
      </c>
      <c r="E134" s="30">
        <f>N(4459.5)</f>
        <v>4459.5</v>
      </c>
      <c r="F134" s="30">
        <f t="shared" ref="F134:F136" si="106">N(0)</f>
        <v>0</v>
      </c>
      <c r="G134" s="30">
        <f t="shared" si="102"/>
        <v>0</v>
      </c>
      <c r="H134" s="30">
        <f t="shared" si="102"/>
        <v>0</v>
      </c>
      <c r="I134" s="30">
        <f t="shared" si="103"/>
        <v>0</v>
      </c>
      <c r="J134" s="30">
        <f t="shared" si="103"/>
        <v>0</v>
      </c>
      <c r="K134" s="30">
        <f t="shared" si="103"/>
        <v>0</v>
      </c>
      <c r="L134" s="30">
        <f t="shared" si="104"/>
        <v>0</v>
      </c>
      <c r="M134" s="30">
        <f>N(16056)</f>
        <v>16056</v>
      </c>
      <c r="N134" s="30">
        <f t="shared" ref="N134:N136" si="107">N(0)</f>
        <v>0</v>
      </c>
      <c r="O134" s="30">
        <f t="shared" si="105"/>
        <v>0</v>
      </c>
      <c r="P134" s="169">
        <f>SUM(D134:O134)</f>
        <v>29713.75</v>
      </c>
    </row>
    <row r="135" spans="1:16" hidden="1" outlineLevel="2">
      <c r="A135" s="22"/>
      <c r="B135" s="28">
        <v>7151</v>
      </c>
      <c r="C135" s="29" t="s">
        <v>181</v>
      </c>
      <c r="D135" s="30">
        <f>N(1114.5)</f>
        <v>1114.5</v>
      </c>
      <c r="E135" s="30">
        <f>N(2206)</f>
        <v>2206</v>
      </c>
      <c r="F135" s="30">
        <f t="shared" si="106"/>
        <v>0</v>
      </c>
      <c r="G135" s="30">
        <f t="shared" si="102"/>
        <v>0</v>
      </c>
      <c r="H135" s="30">
        <f t="shared" si="102"/>
        <v>0</v>
      </c>
      <c r="I135" s="30">
        <f t="shared" si="103"/>
        <v>0</v>
      </c>
      <c r="J135" s="30">
        <f t="shared" si="103"/>
        <v>0</v>
      </c>
      <c r="K135" s="30">
        <f t="shared" si="103"/>
        <v>0</v>
      </c>
      <c r="L135" s="30">
        <f t="shared" si="104"/>
        <v>0</v>
      </c>
      <c r="M135" s="30">
        <f>N(5009)</f>
        <v>5009</v>
      </c>
      <c r="N135" s="30">
        <f t="shared" si="107"/>
        <v>0</v>
      </c>
      <c r="O135" s="30">
        <f t="shared" si="105"/>
        <v>0</v>
      </c>
      <c r="P135" s="169">
        <f>SUM(D135:O135)</f>
        <v>8329.5</v>
      </c>
    </row>
    <row r="136" spans="1:16" hidden="1" outlineLevel="2">
      <c r="A136" s="22"/>
      <c r="B136" s="28">
        <v>7170</v>
      </c>
      <c r="C136" s="29" t="s">
        <v>182</v>
      </c>
      <c r="D136" s="30">
        <f>N(134694.8)</f>
        <v>134694.79999999999</v>
      </c>
      <c r="E136" s="30">
        <f>N(0)</f>
        <v>0</v>
      </c>
      <c r="F136" s="30">
        <f t="shared" si="106"/>
        <v>0</v>
      </c>
      <c r="G136" s="30">
        <f t="shared" si="102"/>
        <v>0</v>
      </c>
      <c r="H136" s="30">
        <f t="shared" si="102"/>
        <v>0</v>
      </c>
      <c r="I136" s="30">
        <f t="shared" si="103"/>
        <v>0</v>
      </c>
      <c r="J136" s="30">
        <f t="shared" si="103"/>
        <v>0</v>
      </c>
      <c r="K136" s="30">
        <f t="shared" si="103"/>
        <v>0</v>
      </c>
      <c r="L136" s="30">
        <f t="shared" si="104"/>
        <v>0</v>
      </c>
      <c r="M136" s="30">
        <f>N(0)</f>
        <v>0</v>
      </c>
      <c r="N136" s="30">
        <f t="shared" si="107"/>
        <v>0</v>
      </c>
      <c r="O136" s="30">
        <f t="shared" si="105"/>
        <v>0</v>
      </c>
      <c r="P136" s="169">
        <f>SUM(D136:O136)</f>
        <v>134694.79999999999</v>
      </c>
    </row>
    <row r="137" spans="1:16" outlineLevel="1" collapsed="1">
      <c r="A137" s="22"/>
      <c r="B137" s="35" t="str">
        <f>"    "&amp;"Reise"</f>
        <v xml:space="preserve">    Reise</v>
      </c>
      <c r="C137" s="36"/>
      <c r="D137" s="33">
        <f t="shared" ref="D137:P137" si="108">SUM(D130:D136)</f>
        <v>983861.12999999989</v>
      </c>
      <c r="E137" s="33">
        <f t="shared" si="108"/>
        <v>88161.74</v>
      </c>
      <c r="F137" s="33">
        <f t="shared" si="108"/>
        <v>8937</v>
      </c>
      <c r="G137" s="33">
        <f t="shared" si="108"/>
        <v>0</v>
      </c>
      <c r="H137" s="33">
        <f t="shared" si="108"/>
        <v>44694.1</v>
      </c>
      <c r="I137" s="33">
        <f t="shared" si="108"/>
        <v>0</v>
      </c>
      <c r="J137" s="33">
        <f t="shared" si="108"/>
        <v>0</v>
      </c>
      <c r="K137" s="33">
        <f t="shared" si="108"/>
        <v>324871.95999999996</v>
      </c>
      <c r="L137" s="33">
        <f t="shared" si="108"/>
        <v>0</v>
      </c>
      <c r="M137" s="33">
        <f t="shared" si="108"/>
        <v>690633.76</v>
      </c>
      <c r="N137" s="33">
        <f t="shared" si="108"/>
        <v>458544.87</v>
      </c>
      <c r="O137" s="33">
        <f t="shared" si="108"/>
        <v>0</v>
      </c>
      <c r="P137" s="170">
        <f t="shared" si="108"/>
        <v>2599704.5599999996</v>
      </c>
    </row>
    <row r="138" spans="1:16" hidden="1" outlineLevel="2">
      <c r="A138" s="22"/>
      <c r="B138" s="28">
        <v>7320</v>
      </c>
      <c r="C138" s="29" t="s">
        <v>183</v>
      </c>
      <c r="D138" s="30">
        <f>N(147100)</f>
        <v>147100</v>
      </c>
      <c r="E138" s="30">
        <f>N(53106.25)</f>
        <v>53106.25</v>
      </c>
      <c r="F138" s="30">
        <f t="shared" ref="F138:O138" si="109">N(0)</f>
        <v>0</v>
      </c>
      <c r="G138" s="30">
        <f t="shared" si="109"/>
        <v>0</v>
      </c>
      <c r="H138" s="30">
        <f t="shared" si="109"/>
        <v>0</v>
      </c>
      <c r="I138" s="30">
        <f t="shared" si="109"/>
        <v>0</v>
      </c>
      <c r="J138" s="30">
        <f t="shared" si="109"/>
        <v>0</v>
      </c>
      <c r="K138" s="30">
        <f t="shared" si="109"/>
        <v>0</v>
      </c>
      <c r="L138" s="30">
        <f t="shared" si="109"/>
        <v>0</v>
      </c>
      <c r="M138" s="30">
        <f t="shared" si="109"/>
        <v>0</v>
      </c>
      <c r="N138" s="30">
        <f t="shared" si="109"/>
        <v>0</v>
      </c>
      <c r="O138" s="30">
        <f t="shared" si="109"/>
        <v>0</v>
      </c>
      <c r="P138" s="169">
        <f>SUM(D138:O138)</f>
        <v>200206.25</v>
      </c>
    </row>
    <row r="139" spans="1:16" outlineLevel="1" collapsed="1">
      <c r="A139" s="22"/>
      <c r="B139" s="35" t="str">
        <f>"    "&amp;"Salgs-, reklame- og representasjonskostnader"</f>
        <v xml:space="preserve">    Salgs-, reklame- og representasjonskostnader</v>
      </c>
      <c r="C139" s="36"/>
      <c r="D139" s="33">
        <f t="shared" ref="D139:P139" si="110">SUM(D138)</f>
        <v>147100</v>
      </c>
      <c r="E139" s="33">
        <f t="shared" si="110"/>
        <v>53106.25</v>
      </c>
      <c r="F139" s="33">
        <f t="shared" si="110"/>
        <v>0</v>
      </c>
      <c r="G139" s="33">
        <f t="shared" si="110"/>
        <v>0</v>
      </c>
      <c r="H139" s="33">
        <f t="shared" si="110"/>
        <v>0</v>
      </c>
      <c r="I139" s="33">
        <f t="shared" si="110"/>
        <v>0</v>
      </c>
      <c r="J139" s="33">
        <f t="shared" si="110"/>
        <v>0</v>
      </c>
      <c r="K139" s="33">
        <f t="shared" si="110"/>
        <v>0</v>
      </c>
      <c r="L139" s="33">
        <f t="shared" si="110"/>
        <v>0</v>
      </c>
      <c r="M139" s="33">
        <f t="shared" si="110"/>
        <v>0</v>
      </c>
      <c r="N139" s="33">
        <f t="shared" si="110"/>
        <v>0</v>
      </c>
      <c r="O139" s="33">
        <f t="shared" si="110"/>
        <v>0</v>
      </c>
      <c r="P139" s="170">
        <f t="shared" si="110"/>
        <v>200206.25</v>
      </c>
    </row>
    <row r="140" spans="1:16" hidden="1" outlineLevel="2">
      <c r="A140" s="22"/>
      <c r="B140" s="28">
        <v>7410</v>
      </c>
      <c r="C140" s="29" t="s">
        <v>185</v>
      </c>
      <c r="D140" s="30">
        <f>N(32322.21)</f>
        <v>32322.21</v>
      </c>
      <c r="E140" s="30">
        <f>N(29670)</f>
        <v>29670</v>
      </c>
      <c r="F140" s="30">
        <f>N(22948)</f>
        <v>22948</v>
      </c>
      <c r="G140" s="30">
        <f t="shared" ref="G140:M148" si="111">N(0)</f>
        <v>0</v>
      </c>
      <c r="H140" s="30">
        <f t="shared" si="111"/>
        <v>0</v>
      </c>
      <c r="I140" s="30">
        <f t="shared" si="111"/>
        <v>0</v>
      </c>
      <c r="J140" s="30">
        <f t="shared" si="111"/>
        <v>0</v>
      </c>
      <c r="K140" s="30">
        <f t="shared" si="111"/>
        <v>0</v>
      </c>
      <c r="L140" s="30">
        <f t="shared" si="111"/>
        <v>0</v>
      </c>
      <c r="M140" s="30">
        <f>N(133157.51)</f>
        <v>133157.51</v>
      </c>
      <c r="N140" s="30">
        <f>N(37000)</f>
        <v>37000</v>
      </c>
      <c r="O140" s="30">
        <f t="shared" ref="O140:O147" si="112">N(0)</f>
        <v>0</v>
      </c>
      <c r="P140" s="169">
        <f>SUM(D140:O140)</f>
        <v>255097.72</v>
      </c>
    </row>
    <row r="141" spans="1:16" hidden="1" outlineLevel="2">
      <c r="A141" s="22"/>
      <c r="B141" s="28">
        <v>7430</v>
      </c>
      <c r="C141" s="29" t="s">
        <v>186</v>
      </c>
      <c r="D141" s="30">
        <f>N(43079)</f>
        <v>43079</v>
      </c>
      <c r="E141" s="30">
        <f t="shared" ref="E141:G148" si="113">N(0)</f>
        <v>0</v>
      </c>
      <c r="F141" s="30">
        <f t="shared" si="113"/>
        <v>0</v>
      </c>
      <c r="G141" s="30">
        <f t="shared" si="111"/>
        <v>0</v>
      </c>
      <c r="H141" s="30">
        <f t="shared" si="111"/>
        <v>0</v>
      </c>
      <c r="I141" s="30">
        <f t="shared" si="111"/>
        <v>0</v>
      </c>
      <c r="J141" s="30">
        <f>N(250000)</f>
        <v>250000</v>
      </c>
      <c r="K141" s="30">
        <f>N(36145.62)</f>
        <v>36145.620000000003</v>
      </c>
      <c r="L141" s="30">
        <f t="shared" si="111"/>
        <v>0</v>
      </c>
      <c r="M141" s="30">
        <f>N(50000)</f>
        <v>50000</v>
      </c>
      <c r="N141" s="30">
        <f t="shared" ref="N141:N143" si="114">N(0)</f>
        <v>0</v>
      </c>
      <c r="O141" s="30">
        <f t="shared" si="112"/>
        <v>0</v>
      </c>
      <c r="P141" s="169">
        <f>SUM(D141:O141)</f>
        <v>379224.62</v>
      </c>
    </row>
    <row r="142" spans="1:16" hidden="1" outlineLevel="2">
      <c r="A142" s="22"/>
      <c r="B142" s="28">
        <v>7432</v>
      </c>
      <c r="C142" s="29" t="s">
        <v>187</v>
      </c>
      <c r="D142" s="30">
        <f t="shared" ref="D142:D148" si="115">N(0)</f>
        <v>0</v>
      </c>
      <c r="E142" s="30">
        <f t="shared" si="113"/>
        <v>0</v>
      </c>
      <c r="F142" s="30">
        <f t="shared" si="113"/>
        <v>0</v>
      </c>
      <c r="G142" s="30">
        <f t="shared" si="111"/>
        <v>0</v>
      </c>
      <c r="H142" s="30">
        <f t="shared" si="111"/>
        <v>0</v>
      </c>
      <c r="I142" s="30">
        <f t="shared" si="111"/>
        <v>0</v>
      </c>
      <c r="J142" s="30">
        <f t="shared" si="111"/>
        <v>0</v>
      </c>
      <c r="K142" s="30">
        <f t="shared" si="111"/>
        <v>0</v>
      </c>
      <c r="L142" s="30">
        <f t="shared" si="111"/>
        <v>0</v>
      </c>
      <c r="M142" s="30">
        <f t="shared" si="111"/>
        <v>0</v>
      </c>
      <c r="N142" s="30">
        <f t="shared" si="114"/>
        <v>0</v>
      </c>
      <c r="O142" s="30">
        <f t="shared" si="112"/>
        <v>0</v>
      </c>
      <c r="P142" s="169">
        <f>SUM(D142:O142)</f>
        <v>0</v>
      </c>
    </row>
    <row r="143" spans="1:16" hidden="1" outlineLevel="2">
      <c r="A143" s="22"/>
      <c r="B143" s="28">
        <v>7437</v>
      </c>
      <c r="C143" s="29" t="s">
        <v>188</v>
      </c>
      <c r="D143" s="30">
        <f t="shared" si="115"/>
        <v>0</v>
      </c>
      <c r="E143" s="30">
        <f t="shared" si="113"/>
        <v>0</v>
      </c>
      <c r="F143" s="30">
        <f t="shared" si="113"/>
        <v>0</v>
      </c>
      <c r="G143" s="30">
        <f>N(1446500)</f>
        <v>1446500</v>
      </c>
      <c r="H143" s="30">
        <f t="shared" si="111"/>
        <v>0</v>
      </c>
      <c r="I143" s="30">
        <f t="shared" si="111"/>
        <v>0</v>
      </c>
      <c r="J143" s="30">
        <f t="shared" si="111"/>
        <v>0</v>
      </c>
      <c r="K143" s="30">
        <f t="shared" si="111"/>
        <v>0</v>
      </c>
      <c r="L143" s="30">
        <f t="shared" si="111"/>
        <v>0</v>
      </c>
      <c r="M143" s="30">
        <f t="shared" si="111"/>
        <v>0</v>
      </c>
      <c r="N143" s="30">
        <f t="shared" si="114"/>
        <v>0</v>
      </c>
      <c r="O143" s="30">
        <f t="shared" si="112"/>
        <v>0</v>
      </c>
      <c r="P143" s="169">
        <f>SUM(D143:O143)</f>
        <v>1446500</v>
      </c>
    </row>
    <row r="144" spans="1:16" hidden="1" outlineLevel="2">
      <c r="A144" s="22"/>
      <c r="B144" s="28">
        <v>7439</v>
      </c>
      <c r="C144" s="29" t="s">
        <v>189</v>
      </c>
      <c r="D144" s="30">
        <f t="shared" si="115"/>
        <v>0</v>
      </c>
      <c r="E144" s="30">
        <f t="shared" si="113"/>
        <v>0</v>
      </c>
      <c r="F144" s="30">
        <f t="shared" si="113"/>
        <v>0</v>
      </c>
      <c r="G144" s="30">
        <f>N(5911939.83)</f>
        <v>5911939.8300000001</v>
      </c>
      <c r="H144" s="30">
        <f t="shared" si="111"/>
        <v>0</v>
      </c>
      <c r="I144" s="30">
        <f t="shared" si="111"/>
        <v>0</v>
      </c>
      <c r="J144" s="30">
        <f t="shared" si="111"/>
        <v>0</v>
      </c>
      <c r="K144" s="30">
        <f t="shared" si="111"/>
        <v>0</v>
      </c>
      <c r="L144" s="30">
        <f t="shared" si="111"/>
        <v>0</v>
      </c>
      <c r="M144" s="30">
        <f t="shared" si="111"/>
        <v>0</v>
      </c>
      <c r="N144" s="30">
        <f>N(-27898.83)</f>
        <v>-27898.83</v>
      </c>
      <c r="O144" s="30">
        <f t="shared" si="112"/>
        <v>0</v>
      </c>
      <c r="P144" s="169">
        <f>SUM(D144:O144)</f>
        <v>5884041</v>
      </c>
    </row>
    <row r="145" spans="1:16" hidden="1" outlineLevel="2">
      <c r="A145" s="22"/>
      <c r="B145" s="28">
        <v>7445</v>
      </c>
      <c r="C145" s="29" t="s">
        <v>191</v>
      </c>
      <c r="D145" s="30">
        <f t="shared" si="115"/>
        <v>0</v>
      </c>
      <c r="E145" s="30">
        <f t="shared" si="113"/>
        <v>0</v>
      </c>
      <c r="F145" s="30">
        <f t="shared" si="113"/>
        <v>0</v>
      </c>
      <c r="G145" s="30">
        <f t="shared" si="113"/>
        <v>0</v>
      </c>
      <c r="H145" s="30">
        <f t="shared" si="111"/>
        <v>0</v>
      </c>
      <c r="I145" s="30">
        <f t="shared" si="111"/>
        <v>0</v>
      </c>
      <c r="J145" s="30">
        <f t="shared" si="111"/>
        <v>0</v>
      </c>
      <c r="K145" s="30">
        <f>N(7830.5)</f>
        <v>7830.5</v>
      </c>
      <c r="L145" s="30">
        <f t="shared" si="111"/>
        <v>0</v>
      </c>
      <c r="M145" s="30">
        <f>N(83521.5)</f>
        <v>83521.5</v>
      </c>
      <c r="N145" s="30">
        <f t="shared" ref="N145:N148" si="116">N(0)</f>
        <v>0</v>
      </c>
      <c r="O145" s="30">
        <f t="shared" si="112"/>
        <v>0</v>
      </c>
      <c r="P145" s="169">
        <f>SUM(D145:O145)</f>
        <v>91352</v>
      </c>
    </row>
    <row r="146" spans="1:16" hidden="1" outlineLevel="2">
      <c r="A146" s="22"/>
      <c r="B146" s="28">
        <v>7447</v>
      </c>
      <c r="C146" s="29" t="s">
        <v>192</v>
      </c>
      <c r="D146" s="30">
        <f t="shared" si="115"/>
        <v>0</v>
      </c>
      <c r="E146" s="30">
        <f t="shared" si="113"/>
        <v>0</v>
      </c>
      <c r="F146" s="30">
        <f t="shared" si="113"/>
        <v>0</v>
      </c>
      <c r="G146" s="30">
        <f t="shared" si="113"/>
        <v>0</v>
      </c>
      <c r="H146" s="30">
        <f t="shared" si="111"/>
        <v>0</v>
      </c>
      <c r="I146" s="30">
        <f t="shared" si="111"/>
        <v>0</v>
      </c>
      <c r="J146" s="30">
        <f t="shared" si="111"/>
        <v>0</v>
      </c>
      <c r="K146" s="30">
        <f>N(180800)</f>
        <v>180800</v>
      </c>
      <c r="L146" s="30">
        <f t="shared" si="111"/>
        <v>0</v>
      </c>
      <c r="M146" s="30">
        <f>N(169748)</f>
        <v>169748</v>
      </c>
      <c r="N146" s="30">
        <f t="shared" si="116"/>
        <v>0</v>
      </c>
      <c r="O146" s="30">
        <f t="shared" si="112"/>
        <v>0</v>
      </c>
      <c r="P146" s="169">
        <f>SUM(D146:O146)</f>
        <v>350548</v>
      </c>
    </row>
    <row r="147" spans="1:16" hidden="1" outlineLevel="2">
      <c r="A147" s="22"/>
      <c r="B147" s="28">
        <v>7460</v>
      </c>
      <c r="C147" s="29" t="s">
        <v>194</v>
      </c>
      <c r="D147" s="30">
        <f t="shared" si="115"/>
        <v>0</v>
      </c>
      <c r="E147" s="30">
        <f t="shared" si="113"/>
        <v>0</v>
      </c>
      <c r="F147" s="30">
        <f t="shared" si="113"/>
        <v>0</v>
      </c>
      <c r="G147" s="30">
        <f t="shared" si="113"/>
        <v>0</v>
      </c>
      <c r="H147" s="30">
        <f t="shared" si="111"/>
        <v>0</v>
      </c>
      <c r="I147" s="30">
        <f t="shared" si="111"/>
        <v>0</v>
      </c>
      <c r="J147" s="30">
        <f>N(635600)</f>
        <v>635600</v>
      </c>
      <c r="K147" s="30">
        <f t="shared" ref="K147:K148" si="117">N(0)</f>
        <v>0</v>
      </c>
      <c r="L147" s="30">
        <f t="shared" si="111"/>
        <v>0</v>
      </c>
      <c r="M147" s="30">
        <f t="shared" si="111"/>
        <v>0</v>
      </c>
      <c r="N147" s="30">
        <f t="shared" si="116"/>
        <v>0</v>
      </c>
      <c r="O147" s="30">
        <f t="shared" si="112"/>
        <v>0</v>
      </c>
      <c r="P147" s="169">
        <f>SUM(D147:O147)</f>
        <v>635600</v>
      </c>
    </row>
    <row r="148" spans="1:16" hidden="1" outlineLevel="2">
      <c r="A148" s="22"/>
      <c r="B148" s="28">
        <v>7461</v>
      </c>
      <c r="C148" s="29" t="s">
        <v>195</v>
      </c>
      <c r="D148" s="30">
        <f t="shared" si="115"/>
        <v>0</v>
      </c>
      <c r="E148" s="30">
        <f t="shared" si="113"/>
        <v>0</v>
      </c>
      <c r="F148" s="30">
        <f t="shared" si="113"/>
        <v>0</v>
      </c>
      <c r="G148" s="30">
        <f t="shared" si="113"/>
        <v>0</v>
      </c>
      <c r="H148" s="30">
        <f t="shared" si="111"/>
        <v>0</v>
      </c>
      <c r="I148" s="30">
        <f t="shared" si="111"/>
        <v>0</v>
      </c>
      <c r="J148" s="30">
        <f>N(0)</f>
        <v>0</v>
      </c>
      <c r="K148" s="30">
        <f t="shared" si="117"/>
        <v>0</v>
      </c>
      <c r="L148" s="30">
        <f t="shared" si="111"/>
        <v>0</v>
      </c>
      <c r="M148" s="30">
        <f t="shared" si="111"/>
        <v>0</v>
      </c>
      <c r="N148" s="30">
        <f t="shared" si="116"/>
        <v>0</v>
      </c>
      <c r="O148" s="30">
        <f>N(2495571.93)</f>
        <v>2495571.9300000002</v>
      </c>
      <c r="P148" s="169">
        <f>SUM(D148:O148)</f>
        <v>2495571.9300000002</v>
      </c>
    </row>
    <row r="149" spans="1:16" outlineLevel="1" collapsed="1">
      <c r="A149" s="22"/>
      <c r="B149" s="35" t="str">
        <f>"    "&amp;"Kontingent og bevilgninger"</f>
        <v xml:space="preserve">    Kontingent og bevilgninger</v>
      </c>
      <c r="C149" s="36"/>
      <c r="D149" s="33">
        <f t="shared" ref="D149:P149" si="118">SUM(D140:D148)</f>
        <v>75401.209999999992</v>
      </c>
      <c r="E149" s="33">
        <f t="shared" si="118"/>
        <v>29670</v>
      </c>
      <c r="F149" s="33">
        <f t="shared" si="118"/>
        <v>22948</v>
      </c>
      <c r="G149" s="33">
        <f t="shared" si="118"/>
        <v>7358439.8300000001</v>
      </c>
      <c r="H149" s="33">
        <f t="shared" si="118"/>
        <v>0</v>
      </c>
      <c r="I149" s="33">
        <f t="shared" si="118"/>
        <v>0</v>
      </c>
      <c r="J149" s="33">
        <f t="shared" si="118"/>
        <v>885600</v>
      </c>
      <c r="K149" s="33">
        <f t="shared" si="118"/>
        <v>224776.12</v>
      </c>
      <c r="L149" s="33">
        <f t="shared" si="118"/>
        <v>0</v>
      </c>
      <c r="M149" s="33">
        <f t="shared" si="118"/>
        <v>436427.01</v>
      </c>
      <c r="N149" s="33">
        <f t="shared" si="118"/>
        <v>9101.1699999999983</v>
      </c>
      <c r="O149" s="33">
        <f t="shared" si="118"/>
        <v>2495571.9300000002</v>
      </c>
      <c r="P149" s="170">
        <f t="shared" si="118"/>
        <v>11537935.27</v>
      </c>
    </row>
    <row r="150" spans="1:16" hidden="1" outlineLevel="2">
      <c r="A150" s="22"/>
      <c r="B150" s="28">
        <v>7500</v>
      </c>
      <c r="C150" s="29" t="s">
        <v>196</v>
      </c>
      <c r="D150" s="30">
        <f t="shared" ref="D150:D151" si="119">N(0)</f>
        <v>0</v>
      </c>
      <c r="E150" s="30">
        <f>N(14290)</f>
        <v>14290</v>
      </c>
      <c r="F150" s="30">
        <f t="shared" ref="F150:H151" si="120">N(0)</f>
        <v>0</v>
      </c>
      <c r="G150" s="30">
        <f t="shared" si="120"/>
        <v>0</v>
      </c>
      <c r="H150" s="30">
        <f t="shared" si="120"/>
        <v>0</v>
      </c>
      <c r="I150" s="30">
        <f>N(49714)</f>
        <v>49714</v>
      </c>
      <c r="J150" s="30">
        <f t="shared" ref="J150:O151" si="121">N(0)</f>
        <v>0</v>
      </c>
      <c r="K150" s="30">
        <f t="shared" si="121"/>
        <v>0</v>
      </c>
      <c r="L150" s="30">
        <f t="shared" si="121"/>
        <v>0</v>
      </c>
      <c r="M150" s="30">
        <f t="shared" si="121"/>
        <v>0</v>
      </c>
      <c r="N150" s="30">
        <f t="shared" si="121"/>
        <v>0</v>
      </c>
      <c r="O150" s="30">
        <f t="shared" si="121"/>
        <v>0</v>
      </c>
      <c r="P150" s="169">
        <f>SUM(D150:O150)</f>
        <v>64004</v>
      </c>
    </row>
    <row r="151" spans="1:16" hidden="1" outlineLevel="2">
      <c r="A151" s="22"/>
      <c r="B151" s="28">
        <v>7510</v>
      </c>
      <c r="C151" s="29" t="s">
        <v>197</v>
      </c>
      <c r="D151" s="30">
        <f t="shared" si="119"/>
        <v>0</v>
      </c>
      <c r="E151" s="30">
        <f>N(0)</f>
        <v>0</v>
      </c>
      <c r="F151" s="30">
        <f t="shared" si="120"/>
        <v>0</v>
      </c>
      <c r="G151" s="30">
        <f t="shared" si="120"/>
        <v>0</v>
      </c>
      <c r="H151" s="30">
        <f t="shared" si="120"/>
        <v>0</v>
      </c>
      <c r="I151" s="30">
        <f>N(27363)</f>
        <v>27363</v>
      </c>
      <c r="J151" s="30">
        <f t="shared" si="121"/>
        <v>0</v>
      </c>
      <c r="K151" s="30">
        <f t="shared" si="121"/>
        <v>0</v>
      </c>
      <c r="L151" s="30">
        <f t="shared" si="121"/>
        <v>0</v>
      </c>
      <c r="M151" s="30">
        <f>N(5593)</f>
        <v>5593</v>
      </c>
      <c r="N151" s="30">
        <f t="shared" si="121"/>
        <v>0</v>
      </c>
      <c r="O151" s="30">
        <f t="shared" si="121"/>
        <v>0</v>
      </c>
      <c r="P151" s="169">
        <f>SUM(D151:O151)</f>
        <v>32956</v>
      </c>
    </row>
    <row r="152" spans="1:16" outlineLevel="1" collapsed="1">
      <c r="A152" s="22"/>
      <c r="B152" s="35" t="str">
        <f>"    "&amp;"Forsikringspremie, garanti- og servicekostnad"</f>
        <v xml:space="preserve">    Forsikringspremie, garanti- og servicekostnad</v>
      </c>
      <c r="C152" s="36"/>
      <c r="D152" s="33">
        <f t="shared" ref="D152:P152" si="122">SUM(D150:D151)</f>
        <v>0</v>
      </c>
      <c r="E152" s="33">
        <f t="shared" si="122"/>
        <v>14290</v>
      </c>
      <c r="F152" s="33">
        <f t="shared" si="122"/>
        <v>0</v>
      </c>
      <c r="G152" s="33">
        <f t="shared" si="122"/>
        <v>0</v>
      </c>
      <c r="H152" s="33">
        <f t="shared" si="122"/>
        <v>0</v>
      </c>
      <c r="I152" s="33">
        <f t="shared" si="122"/>
        <v>77077</v>
      </c>
      <c r="J152" s="33">
        <f t="shared" si="122"/>
        <v>0</v>
      </c>
      <c r="K152" s="33">
        <f t="shared" si="122"/>
        <v>0</v>
      </c>
      <c r="L152" s="33">
        <f t="shared" si="122"/>
        <v>0</v>
      </c>
      <c r="M152" s="33">
        <f t="shared" si="122"/>
        <v>5593</v>
      </c>
      <c r="N152" s="33">
        <f t="shared" si="122"/>
        <v>0</v>
      </c>
      <c r="O152" s="33">
        <f t="shared" si="122"/>
        <v>0</v>
      </c>
      <c r="P152" s="170">
        <f t="shared" si="122"/>
        <v>96960</v>
      </c>
    </row>
    <row r="153" spans="1:16" hidden="1" outlineLevel="2">
      <c r="A153" s="22"/>
      <c r="B153" s="28">
        <v>7700</v>
      </c>
      <c r="C153" s="29" t="s">
        <v>199</v>
      </c>
      <c r="D153" s="30">
        <f>N(1950)</f>
        <v>1950</v>
      </c>
      <c r="E153" s="30">
        <f>N(157656.38)</f>
        <v>157656.38</v>
      </c>
      <c r="F153" s="30">
        <f>N(4584)</f>
        <v>4584</v>
      </c>
      <c r="G153" s="30">
        <f t="shared" ref="G153:G159" si="123">N(0)</f>
        <v>0</v>
      </c>
      <c r="H153" s="30">
        <f>N(3890)</f>
        <v>3890</v>
      </c>
      <c r="I153" s="30">
        <f t="shared" ref="I153:N159" si="124">N(0)</f>
        <v>0</v>
      </c>
      <c r="J153" s="30">
        <f t="shared" si="124"/>
        <v>0</v>
      </c>
      <c r="K153" s="30">
        <f>N(105218.07)</f>
        <v>105218.07</v>
      </c>
      <c r="L153" s="30">
        <f t="shared" ref="L153:M156" si="125">N(0)</f>
        <v>0</v>
      </c>
      <c r="M153" s="30">
        <f>N(667589.2)</f>
        <v>667589.19999999995</v>
      </c>
      <c r="N153" s="30">
        <f>N(181306.44)</f>
        <v>181306.44</v>
      </c>
      <c r="O153" s="30">
        <f t="shared" ref="O153:O159" si="126">N(0)</f>
        <v>0</v>
      </c>
      <c r="P153" s="169">
        <f>SUM(D153:O153)</f>
        <v>1122194.0899999999</v>
      </c>
    </row>
    <row r="154" spans="1:16" hidden="1" outlineLevel="2">
      <c r="A154" s="22"/>
      <c r="B154" s="28">
        <v>7720</v>
      </c>
      <c r="C154" s="29" t="s">
        <v>201</v>
      </c>
      <c r="D154" s="30">
        <f>N(282777.93)</f>
        <v>282777.93</v>
      </c>
      <c r="E154" s="30">
        <f>N(37173)</f>
        <v>37173</v>
      </c>
      <c r="F154" s="30">
        <f>N(4470)</f>
        <v>4470</v>
      </c>
      <c r="G154" s="30">
        <f t="shared" si="123"/>
        <v>0</v>
      </c>
      <c r="H154" s="30">
        <f>N(1476856.98)</f>
        <v>1476856.98</v>
      </c>
      <c r="I154" s="30">
        <f t="shared" si="124"/>
        <v>0</v>
      </c>
      <c r="J154" s="30">
        <f t="shared" si="124"/>
        <v>0</v>
      </c>
      <c r="K154" s="30">
        <f>N(417708.49)</f>
        <v>417708.49</v>
      </c>
      <c r="L154" s="30">
        <f t="shared" si="125"/>
        <v>0</v>
      </c>
      <c r="M154" s="30">
        <f>N(44001.4)</f>
        <v>44001.4</v>
      </c>
      <c r="N154" s="30">
        <f>N(1502005.08)</f>
        <v>1502005.08</v>
      </c>
      <c r="O154" s="30">
        <f t="shared" si="126"/>
        <v>0</v>
      </c>
      <c r="P154" s="169">
        <f>SUM(D154:O154)</f>
        <v>3764992.88</v>
      </c>
    </row>
    <row r="155" spans="1:16" hidden="1" outlineLevel="2">
      <c r="A155" s="22"/>
      <c r="B155" s="28">
        <v>7770</v>
      </c>
      <c r="C155" s="29" t="s">
        <v>202</v>
      </c>
      <c r="D155" s="30">
        <f>N(21.38)</f>
        <v>21.38</v>
      </c>
      <c r="E155" s="30">
        <f>N(52205.97)</f>
        <v>52205.97</v>
      </c>
      <c r="F155" s="30">
        <f t="shared" ref="F155:F159" si="127">N(0)</f>
        <v>0</v>
      </c>
      <c r="G155" s="30">
        <f t="shared" si="123"/>
        <v>0</v>
      </c>
      <c r="H155" s="30">
        <f>N(7676.77)</f>
        <v>7676.77</v>
      </c>
      <c r="I155" s="30">
        <f t="shared" si="124"/>
        <v>0</v>
      </c>
      <c r="J155" s="30">
        <f t="shared" si="124"/>
        <v>0</v>
      </c>
      <c r="K155" s="30">
        <f>N(644.38)</f>
        <v>644.38</v>
      </c>
      <c r="L155" s="30">
        <f t="shared" si="125"/>
        <v>0</v>
      </c>
      <c r="M155" s="30">
        <f t="shared" si="125"/>
        <v>0</v>
      </c>
      <c r="N155" s="30">
        <f>N(7491)</f>
        <v>7491</v>
      </c>
      <c r="O155" s="30">
        <f t="shared" si="126"/>
        <v>0</v>
      </c>
      <c r="P155" s="169">
        <f>SUM(D155:O155)</f>
        <v>68039.5</v>
      </c>
    </row>
    <row r="156" spans="1:16" hidden="1" outlineLevel="2">
      <c r="A156" s="22"/>
      <c r="B156" s="28">
        <v>7771</v>
      </c>
      <c r="C156" s="29" t="s">
        <v>203</v>
      </c>
      <c r="D156" s="30">
        <f t="shared" ref="D156:E156" si="128">N(0)</f>
        <v>0</v>
      </c>
      <c r="E156" s="30">
        <f t="shared" si="128"/>
        <v>0</v>
      </c>
      <c r="F156" s="30">
        <f t="shared" si="127"/>
        <v>0</v>
      </c>
      <c r="G156" s="30">
        <f t="shared" si="123"/>
        <v>0</v>
      </c>
      <c r="H156" s="30">
        <f>N(71630.63)</f>
        <v>71630.63</v>
      </c>
      <c r="I156" s="30">
        <f t="shared" si="124"/>
        <v>0</v>
      </c>
      <c r="J156" s="30">
        <f t="shared" si="124"/>
        <v>0</v>
      </c>
      <c r="K156" s="30">
        <f>N(8850.25)</f>
        <v>8850.25</v>
      </c>
      <c r="L156" s="30">
        <f t="shared" si="125"/>
        <v>0</v>
      </c>
      <c r="M156" s="30">
        <f t="shared" si="125"/>
        <v>0</v>
      </c>
      <c r="N156" s="30">
        <f>N(42649.28)</f>
        <v>42649.279999999999</v>
      </c>
      <c r="O156" s="30">
        <f t="shared" si="126"/>
        <v>0</v>
      </c>
      <c r="P156" s="169">
        <f>SUM(D156:O156)</f>
        <v>123130.16</v>
      </c>
    </row>
    <row r="157" spans="1:16" hidden="1" outlineLevel="2">
      <c r="A157" s="22"/>
      <c r="B157" s="28">
        <v>7790</v>
      </c>
      <c r="C157" s="29" t="s">
        <v>204</v>
      </c>
      <c r="D157" s="30">
        <f>N(-3620.96)</f>
        <v>-3620.96</v>
      </c>
      <c r="E157" s="30">
        <f>N(5553.47)</f>
        <v>5553.47</v>
      </c>
      <c r="F157" s="30">
        <f t="shared" si="127"/>
        <v>0</v>
      </c>
      <c r="G157" s="30">
        <f t="shared" si="123"/>
        <v>0</v>
      </c>
      <c r="H157" s="30">
        <f>N(5896.38)</f>
        <v>5896.38</v>
      </c>
      <c r="I157" s="30">
        <f t="shared" si="124"/>
        <v>0</v>
      </c>
      <c r="J157" s="30">
        <f t="shared" si="124"/>
        <v>0</v>
      </c>
      <c r="K157" s="30">
        <f>N(3424.05)</f>
        <v>3424.05</v>
      </c>
      <c r="L157" s="30">
        <f>N(-0.01)</f>
        <v>-0.01</v>
      </c>
      <c r="M157" s="30">
        <f>N(0.34)</f>
        <v>0.34</v>
      </c>
      <c r="N157" s="30">
        <f>N(-2.3)</f>
        <v>-2.2999999999999998</v>
      </c>
      <c r="O157" s="30">
        <f t="shared" si="126"/>
        <v>0</v>
      </c>
      <c r="P157" s="169">
        <f>SUM(D157:O157)</f>
        <v>11250.970000000001</v>
      </c>
    </row>
    <row r="158" spans="1:16" hidden="1" outlineLevel="2">
      <c r="A158" s="22"/>
      <c r="B158" s="28">
        <v>7791</v>
      </c>
      <c r="C158" s="29" t="s">
        <v>205</v>
      </c>
      <c r="D158" s="30">
        <f t="shared" ref="D158:E158" si="129">N(0)</f>
        <v>0</v>
      </c>
      <c r="E158" s="30">
        <f t="shared" si="129"/>
        <v>0</v>
      </c>
      <c r="F158" s="30">
        <f t="shared" si="127"/>
        <v>0</v>
      </c>
      <c r="G158" s="30">
        <f t="shared" si="123"/>
        <v>0</v>
      </c>
      <c r="H158" s="30">
        <f>N(1177)</f>
        <v>1177</v>
      </c>
      <c r="I158" s="30">
        <f t="shared" si="124"/>
        <v>0</v>
      </c>
      <c r="J158" s="30">
        <f t="shared" si="124"/>
        <v>0</v>
      </c>
      <c r="K158" s="30">
        <f t="shared" si="124"/>
        <v>0</v>
      </c>
      <c r="L158" s="30">
        <f t="shared" si="124"/>
        <v>0</v>
      </c>
      <c r="M158" s="30">
        <f t="shared" si="124"/>
        <v>0</v>
      </c>
      <c r="N158" s="30">
        <f t="shared" si="124"/>
        <v>0</v>
      </c>
      <c r="O158" s="30">
        <f t="shared" si="126"/>
        <v>0</v>
      </c>
      <c r="P158" s="169">
        <f>SUM(D158:O158)</f>
        <v>1177</v>
      </c>
    </row>
    <row r="159" spans="1:16" hidden="1" outlineLevel="2">
      <c r="A159" s="22"/>
      <c r="B159" s="28">
        <v>7792</v>
      </c>
      <c r="C159" s="29" t="s">
        <v>206</v>
      </c>
      <c r="D159" s="30">
        <f>N(570)</f>
        <v>570</v>
      </c>
      <c r="E159" s="30">
        <f>N(4242.9)</f>
        <v>4242.8999999999996</v>
      </c>
      <c r="F159" s="30">
        <f t="shared" si="127"/>
        <v>0</v>
      </c>
      <c r="G159" s="30">
        <f t="shared" si="123"/>
        <v>0</v>
      </c>
      <c r="H159" s="30">
        <f>N(0)</f>
        <v>0</v>
      </c>
      <c r="I159" s="30">
        <f t="shared" si="124"/>
        <v>0</v>
      </c>
      <c r="J159" s="30">
        <f t="shared" si="124"/>
        <v>0</v>
      </c>
      <c r="K159" s="30">
        <f>N(1318.7)</f>
        <v>1318.7</v>
      </c>
      <c r="L159" s="30">
        <f>N(0)</f>
        <v>0</v>
      </c>
      <c r="M159" s="30">
        <f>N(21515.52)</f>
        <v>21515.52</v>
      </c>
      <c r="N159" s="30">
        <f>N(0)</f>
        <v>0</v>
      </c>
      <c r="O159" s="30">
        <f t="shared" si="126"/>
        <v>0</v>
      </c>
      <c r="P159" s="169">
        <f>SUM(D159:O159)</f>
        <v>27647.119999999999</v>
      </c>
    </row>
    <row r="160" spans="1:16" outlineLevel="1" collapsed="1">
      <c r="A160" s="22"/>
      <c r="B160" s="35" t="str">
        <f>"    "&amp;"Annen kostnad"</f>
        <v xml:space="preserve">    Annen kostnad</v>
      </c>
      <c r="C160" s="36"/>
      <c r="D160" s="33">
        <f t="shared" ref="D160:P160" si="130">SUM(D153:D159)</f>
        <v>281698.34999999998</v>
      </c>
      <c r="E160" s="33">
        <f t="shared" si="130"/>
        <v>256831.72</v>
      </c>
      <c r="F160" s="33">
        <f t="shared" si="130"/>
        <v>9054</v>
      </c>
      <c r="G160" s="33">
        <f t="shared" si="130"/>
        <v>0</v>
      </c>
      <c r="H160" s="33">
        <f t="shared" si="130"/>
        <v>1567127.7599999998</v>
      </c>
      <c r="I160" s="33">
        <f t="shared" si="130"/>
        <v>0</v>
      </c>
      <c r="J160" s="33">
        <f t="shared" si="130"/>
        <v>0</v>
      </c>
      <c r="K160" s="33">
        <f t="shared" si="130"/>
        <v>537163.93999999994</v>
      </c>
      <c r="L160" s="33">
        <f t="shared" si="130"/>
        <v>-0.01</v>
      </c>
      <c r="M160" s="33">
        <f t="shared" si="130"/>
        <v>733106.46</v>
      </c>
      <c r="N160" s="33">
        <f t="shared" si="130"/>
        <v>1733449.5</v>
      </c>
      <c r="O160" s="33">
        <f t="shared" si="130"/>
        <v>0</v>
      </c>
      <c r="P160" s="170">
        <f t="shared" si="130"/>
        <v>5118431.72</v>
      </c>
    </row>
    <row r="161" spans="1:16">
      <c r="A161" s="22"/>
      <c r="B161" s="41" t="s">
        <v>18</v>
      </c>
      <c r="C161" s="42"/>
      <c r="D161" s="44">
        <f ca="1">SUM(OSRRefD13_2x_0)</f>
        <v>9954482.160000002</v>
      </c>
      <c r="E161" s="44">
        <f ca="1">SUM(OSRRefD13_2x_1)</f>
        <v>3061942.3700000006</v>
      </c>
      <c r="F161" s="44">
        <f ca="1">SUM(OSRRefD13_2x_2)</f>
        <v>117208.59000000001</v>
      </c>
      <c r="G161" s="44">
        <f ca="1">SUM(OSRRefD13_2x_3)</f>
        <v>7358439.8300000001</v>
      </c>
      <c r="H161" s="44">
        <f ca="1">SUM(OSRRefD13_2x_4)</f>
        <v>2085157.4199999997</v>
      </c>
      <c r="I161" s="44">
        <f ca="1">SUM(OSRRefD13_2x_5)</f>
        <v>1074410.03</v>
      </c>
      <c r="J161" s="44">
        <f ca="1">SUM(OSRRefD13_2x_12)</f>
        <v>885600</v>
      </c>
      <c r="K161" s="44">
        <f ca="1">SUM(OSRRefD13_2x_13)</f>
        <v>1390361.67</v>
      </c>
      <c r="L161" s="44">
        <f ca="1">SUM(OSRRefD13_2x_14)</f>
        <v>-0.01</v>
      </c>
      <c r="M161" s="44">
        <f ca="1">SUM(OSRRefD13_2x_15)</f>
        <v>2108978.91</v>
      </c>
      <c r="N161" s="44">
        <f ca="1">SUM(OSRRefD13_2x_16)</f>
        <v>2613423.17</v>
      </c>
      <c r="O161" s="44">
        <f ca="1">SUM(OSRRefD13_2x_17)</f>
        <v>2497901.9300000002</v>
      </c>
      <c r="P161" s="171">
        <f ca="1">SUM(OSRRefE13_2x)</f>
        <v>33147906.069999997</v>
      </c>
    </row>
    <row r="162" spans="1:16">
      <c r="A162" s="22"/>
      <c r="B162" s="48" t="s">
        <v>349</v>
      </c>
      <c r="C162" s="172"/>
      <c r="D162" s="51">
        <f ca="1">SUM(OSRRefD14x_0)</f>
        <v>17108690.020000003</v>
      </c>
      <c r="E162" s="51">
        <f ca="1">SUM(OSRRefD14x_1)</f>
        <v>7963769.9900000002</v>
      </c>
      <c r="F162" s="51">
        <f ca="1">SUM(OSRRefD14x_2)</f>
        <v>582083.03</v>
      </c>
      <c r="G162" s="51">
        <f ca="1">SUM(OSRRefD14x_3)</f>
        <v>7358439.8300000001</v>
      </c>
      <c r="H162" s="51">
        <f ca="1">SUM(OSRRefD14x_4)</f>
        <v>2631689.8699999996</v>
      </c>
      <c r="I162" s="51">
        <f ca="1">SUM(OSRRefD14x_5)</f>
        <v>1074410.03</v>
      </c>
      <c r="J162" s="51">
        <f t="shared" ref="J162:O162" ca="1" si="131">SUM(J45,J86,J161)</f>
        <v>885600</v>
      </c>
      <c r="K162" s="51">
        <f t="shared" ca="1" si="131"/>
        <v>4034219.95</v>
      </c>
      <c r="L162" s="51">
        <f t="shared" ca="1" si="131"/>
        <v>293992.81</v>
      </c>
      <c r="M162" s="51">
        <f t="shared" ca="1" si="131"/>
        <v>3484595.87</v>
      </c>
      <c r="N162" s="51">
        <f t="shared" ca="1" si="131"/>
        <v>5125482.3999999994</v>
      </c>
      <c r="O162" s="51">
        <f t="shared" ca="1" si="131"/>
        <v>2497901.9300000002</v>
      </c>
      <c r="P162" s="173">
        <f ca="1">SUM(OSRRefE14x)</f>
        <v>53040875.729999997</v>
      </c>
    </row>
    <row r="163" spans="1:16" ht="9.75" customHeight="1">
      <c r="B163" s="57"/>
      <c r="C163" s="24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174"/>
    </row>
    <row r="164" spans="1:16" ht="15.6">
      <c r="B164" s="64" t="s">
        <v>209</v>
      </c>
      <c r="C164" s="65"/>
      <c r="D164" s="67">
        <f t="shared" ref="D164:P164" ca="1" si="132">SUM(D39)-SUM(D162)</f>
        <v>-2022011.8800000027</v>
      </c>
      <c r="E164" s="67">
        <f t="shared" ca="1" si="132"/>
        <v>1583410.290000001</v>
      </c>
      <c r="F164" s="67">
        <f t="shared" ca="1" si="132"/>
        <v>-78214.160000000033</v>
      </c>
      <c r="G164" s="67">
        <f t="shared" ca="1" si="132"/>
        <v>-3284038.6500000004</v>
      </c>
      <c r="H164" s="67">
        <f t="shared" ca="1" si="132"/>
        <v>-666718.91999999969</v>
      </c>
      <c r="I164" s="67">
        <f t="shared" ca="1" si="132"/>
        <v>5075.2700000000186</v>
      </c>
      <c r="J164" s="67">
        <f t="shared" ca="1" si="132"/>
        <v>-121649.78000000003</v>
      </c>
      <c r="K164" s="67">
        <f t="shared" ca="1" si="132"/>
        <v>-109200.9700000002</v>
      </c>
      <c r="L164" s="67">
        <f t="shared" ca="1" si="132"/>
        <v>-90272.75</v>
      </c>
      <c r="M164" s="67">
        <f t="shared" ca="1" si="132"/>
        <v>2939649.79</v>
      </c>
      <c r="N164" s="67">
        <f t="shared" ca="1" si="132"/>
        <v>-441249.61999999918</v>
      </c>
      <c r="O164" s="67">
        <f t="shared" ca="1" si="132"/>
        <v>-2331.2000000001863</v>
      </c>
      <c r="P164" s="175">
        <f t="shared" ca="1" si="132"/>
        <v>-2287552.5799999982</v>
      </c>
    </row>
    <row r="165" spans="1:16">
      <c r="B165" s="27"/>
      <c r="C165" s="24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168"/>
    </row>
    <row r="166" spans="1:16" hidden="1" outlineLevel="2">
      <c r="A166" s="22"/>
      <c r="B166" s="28">
        <v>8050</v>
      </c>
      <c r="C166" s="29" t="s">
        <v>210</v>
      </c>
      <c r="D166" s="30">
        <f>-N(-66327.59)</f>
        <v>66327.59</v>
      </c>
      <c r="E166" s="30">
        <f>-N(-1179259.32)</f>
        <v>1179259.32</v>
      </c>
      <c r="F166" s="30">
        <f t="shared" ref="F166:G170" si="133">-N(0)</f>
        <v>0</v>
      </c>
      <c r="G166" s="30">
        <f>-N(-316412.83)</f>
        <v>316412.83</v>
      </c>
      <c r="H166" s="30">
        <f t="shared" ref="H166:K170" si="134">-N(0)</f>
        <v>0</v>
      </c>
      <c r="I166" s="30">
        <f t="shared" si="134"/>
        <v>0</v>
      </c>
      <c r="J166" s="30">
        <f t="shared" si="134"/>
        <v>0</v>
      </c>
      <c r="K166" s="30">
        <f>-N(-1390.35)</f>
        <v>1390.35</v>
      </c>
      <c r="L166" s="30">
        <f t="shared" ref="L166:O170" si="135">-N(0)</f>
        <v>0</v>
      </c>
      <c r="M166" s="30">
        <f t="shared" si="135"/>
        <v>0</v>
      </c>
      <c r="N166" s="30">
        <f t="shared" si="135"/>
        <v>0</v>
      </c>
      <c r="O166" s="30">
        <f t="shared" si="135"/>
        <v>0</v>
      </c>
      <c r="P166" s="169">
        <f>SUM(D166:O166)</f>
        <v>1563390.0900000003</v>
      </c>
    </row>
    <row r="167" spans="1:16" hidden="1" outlineLevel="2">
      <c r="A167" s="22"/>
      <c r="B167" s="28">
        <v>8060</v>
      </c>
      <c r="C167" s="29" t="s">
        <v>211</v>
      </c>
      <c r="D167" s="30">
        <f>-N(-13410)</f>
        <v>13410</v>
      </c>
      <c r="E167" s="30">
        <f>-N(-9506.84)</f>
        <v>9506.84</v>
      </c>
      <c r="F167" s="30">
        <f t="shared" si="133"/>
        <v>0</v>
      </c>
      <c r="G167" s="30">
        <f t="shared" si="133"/>
        <v>0</v>
      </c>
      <c r="H167" s="30">
        <f t="shared" si="134"/>
        <v>0</v>
      </c>
      <c r="I167" s="30">
        <f t="shared" si="134"/>
        <v>0</v>
      </c>
      <c r="J167" s="30">
        <f t="shared" si="134"/>
        <v>0</v>
      </c>
      <c r="K167" s="30">
        <f t="shared" si="134"/>
        <v>0</v>
      </c>
      <c r="L167" s="30">
        <f t="shared" si="135"/>
        <v>0</v>
      </c>
      <c r="M167" s="30">
        <f t="shared" si="135"/>
        <v>0</v>
      </c>
      <c r="N167" s="30">
        <f t="shared" si="135"/>
        <v>0</v>
      </c>
      <c r="O167" s="30">
        <f t="shared" si="135"/>
        <v>0</v>
      </c>
      <c r="P167" s="169">
        <f>SUM(D167:O167)</f>
        <v>22916.84</v>
      </c>
    </row>
    <row r="168" spans="1:16" hidden="1" outlineLevel="2">
      <c r="A168" s="22"/>
      <c r="B168" s="28">
        <v>8071</v>
      </c>
      <c r="C168" s="29" t="s">
        <v>212</v>
      </c>
      <c r="D168" s="30">
        <f>-N(0)</f>
        <v>0</v>
      </c>
      <c r="E168" s="30">
        <f>-N(-174467)</f>
        <v>174467</v>
      </c>
      <c r="F168" s="30">
        <f t="shared" si="133"/>
        <v>0</v>
      </c>
      <c r="G168" s="30">
        <f t="shared" si="133"/>
        <v>0</v>
      </c>
      <c r="H168" s="30">
        <f t="shared" si="134"/>
        <v>0</v>
      </c>
      <c r="I168" s="30">
        <f t="shared" si="134"/>
        <v>0</v>
      </c>
      <c r="J168" s="30">
        <f t="shared" si="134"/>
        <v>0</v>
      </c>
      <c r="K168" s="30">
        <f t="shared" si="134"/>
        <v>0</v>
      </c>
      <c r="L168" s="30">
        <f t="shared" si="135"/>
        <v>0</v>
      </c>
      <c r="M168" s="30">
        <f t="shared" si="135"/>
        <v>0</v>
      </c>
      <c r="N168" s="30">
        <f t="shared" si="135"/>
        <v>0</v>
      </c>
      <c r="O168" s="30">
        <f t="shared" si="135"/>
        <v>0</v>
      </c>
      <c r="P168" s="169">
        <f>SUM(D168:O168)</f>
        <v>174467</v>
      </c>
    </row>
    <row r="169" spans="1:16" hidden="1" outlineLevel="2">
      <c r="A169" s="22"/>
      <c r="B169" s="28">
        <v>8078</v>
      </c>
      <c r="C169" s="29" t="s">
        <v>213</v>
      </c>
      <c r="D169" s="30">
        <f>-N(-40120.7)</f>
        <v>40120.699999999997</v>
      </c>
      <c r="E169" s="30">
        <f>-N(-336554.46)</f>
        <v>336554.46</v>
      </c>
      <c r="F169" s="30">
        <f t="shared" si="133"/>
        <v>0</v>
      </c>
      <c r="G169" s="30">
        <f>-N(-192678.26)</f>
        <v>192678.26</v>
      </c>
      <c r="H169" s="30">
        <f t="shared" si="134"/>
        <v>0</v>
      </c>
      <c r="I169" s="30">
        <f t="shared" si="134"/>
        <v>0</v>
      </c>
      <c r="J169" s="30">
        <f t="shared" si="134"/>
        <v>0</v>
      </c>
      <c r="K169" s="30">
        <f>-N(-846.65)</f>
        <v>846.65</v>
      </c>
      <c r="L169" s="30">
        <f t="shared" si="135"/>
        <v>0</v>
      </c>
      <c r="M169" s="30">
        <f t="shared" si="135"/>
        <v>0</v>
      </c>
      <c r="N169" s="30">
        <f t="shared" si="135"/>
        <v>0</v>
      </c>
      <c r="O169" s="30">
        <f t="shared" si="135"/>
        <v>0</v>
      </c>
      <c r="P169" s="169">
        <f>SUM(D169:O169)</f>
        <v>570200.07000000007</v>
      </c>
    </row>
    <row r="170" spans="1:16" hidden="1" outlineLevel="2">
      <c r="A170" s="22"/>
      <c r="B170" s="28">
        <v>8080</v>
      </c>
      <c r="C170" s="29" t="s">
        <v>214</v>
      </c>
      <c r="D170" s="30">
        <f>-N(-129252.01)</f>
        <v>129252.01</v>
      </c>
      <c r="E170" s="30">
        <f>-N(-1076148.91)</f>
        <v>1076148.9099999999</v>
      </c>
      <c r="F170" s="30">
        <f t="shared" si="133"/>
        <v>0</v>
      </c>
      <c r="G170" s="30">
        <f>-N(-616591.09)</f>
        <v>616591.09</v>
      </c>
      <c r="H170" s="30">
        <f t="shared" si="134"/>
        <v>0</v>
      </c>
      <c r="I170" s="30">
        <f t="shared" si="134"/>
        <v>0</v>
      </c>
      <c r="J170" s="30">
        <f t="shared" si="134"/>
        <v>0</v>
      </c>
      <c r="K170" s="30">
        <f>-N(-2709.36)</f>
        <v>2709.36</v>
      </c>
      <c r="L170" s="30">
        <f t="shared" si="135"/>
        <v>0</v>
      </c>
      <c r="M170" s="30">
        <f t="shared" si="135"/>
        <v>0</v>
      </c>
      <c r="N170" s="30">
        <f t="shared" si="135"/>
        <v>0</v>
      </c>
      <c r="O170" s="30">
        <f t="shared" si="135"/>
        <v>0</v>
      </c>
      <c r="P170" s="169">
        <f>SUM(D170:O170)</f>
        <v>1824701.3699999999</v>
      </c>
    </row>
    <row r="171" spans="1:16" outlineLevel="1" collapsed="1">
      <c r="A171" s="22"/>
      <c r="B171" s="35" t="str">
        <f>"    "&amp;"Finansinntekt"</f>
        <v xml:space="preserve">    Finansinntekt</v>
      </c>
      <c r="C171" s="36"/>
      <c r="D171" s="33">
        <f t="shared" ref="D171:P171" si="136">SUM(D166:D170)</f>
        <v>249110.3</v>
      </c>
      <c r="E171" s="33">
        <f t="shared" si="136"/>
        <v>2775936.5300000003</v>
      </c>
      <c r="F171" s="33">
        <f t="shared" si="136"/>
        <v>0</v>
      </c>
      <c r="G171" s="33">
        <f t="shared" si="136"/>
        <v>1125682.18</v>
      </c>
      <c r="H171" s="33">
        <f t="shared" si="136"/>
        <v>0</v>
      </c>
      <c r="I171" s="33">
        <f t="shared" si="136"/>
        <v>0</v>
      </c>
      <c r="J171" s="33">
        <f t="shared" si="136"/>
        <v>0</v>
      </c>
      <c r="K171" s="33">
        <f t="shared" si="136"/>
        <v>4946.3600000000006</v>
      </c>
      <c r="L171" s="33">
        <f t="shared" si="136"/>
        <v>0</v>
      </c>
      <c r="M171" s="33">
        <f t="shared" si="136"/>
        <v>0</v>
      </c>
      <c r="N171" s="33">
        <f t="shared" si="136"/>
        <v>0</v>
      </c>
      <c r="O171" s="33">
        <f t="shared" si="136"/>
        <v>0</v>
      </c>
      <c r="P171" s="170">
        <f t="shared" si="136"/>
        <v>4155675.37</v>
      </c>
    </row>
    <row r="172" spans="1:16">
      <c r="A172" s="22"/>
      <c r="B172" s="41" t="s">
        <v>216</v>
      </c>
      <c r="C172" s="42"/>
      <c r="D172" s="44">
        <f t="shared" ref="D172:P172" si="137">SUM(D171)</f>
        <v>249110.3</v>
      </c>
      <c r="E172" s="44">
        <f t="shared" si="137"/>
        <v>2775936.5300000003</v>
      </c>
      <c r="F172" s="44">
        <f t="shared" si="137"/>
        <v>0</v>
      </c>
      <c r="G172" s="44">
        <f t="shared" si="137"/>
        <v>1125682.18</v>
      </c>
      <c r="H172" s="44">
        <f t="shared" si="137"/>
        <v>0</v>
      </c>
      <c r="I172" s="44">
        <f t="shared" si="137"/>
        <v>0</v>
      </c>
      <c r="J172" s="44">
        <f t="shared" si="137"/>
        <v>0</v>
      </c>
      <c r="K172" s="44">
        <f t="shared" si="137"/>
        <v>4946.3600000000006</v>
      </c>
      <c r="L172" s="44">
        <f t="shared" si="137"/>
        <v>0</v>
      </c>
      <c r="M172" s="44">
        <f t="shared" si="137"/>
        <v>0</v>
      </c>
      <c r="N172" s="44">
        <f t="shared" si="137"/>
        <v>0</v>
      </c>
      <c r="O172" s="44">
        <f t="shared" si="137"/>
        <v>0</v>
      </c>
      <c r="P172" s="171">
        <f t="shared" si="137"/>
        <v>4155675.37</v>
      </c>
    </row>
    <row r="173" spans="1:16" hidden="1" outlineLevel="2">
      <c r="A173" s="22"/>
      <c r="B173" s="28">
        <v>8120</v>
      </c>
      <c r="C173" s="29" t="s">
        <v>219</v>
      </c>
      <c r="D173" s="30">
        <f t="shared" ref="D173:D177" si="138">N(0)</f>
        <v>0</v>
      </c>
      <c r="E173" s="30">
        <f>N(1160000)</f>
        <v>1160000</v>
      </c>
      <c r="F173" s="30">
        <f t="shared" ref="F173:O177" si="139">N(0)</f>
        <v>0</v>
      </c>
      <c r="G173" s="30">
        <f t="shared" si="139"/>
        <v>0</v>
      </c>
      <c r="H173" s="30">
        <f t="shared" si="139"/>
        <v>0</v>
      </c>
      <c r="I173" s="30">
        <f t="shared" si="139"/>
        <v>0</v>
      </c>
      <c r="J173" s="30">
        <f t="shared" si="139"/>
        <v>0</v>
      </c>
      <c r="K173" s="30">
        <f t="shared" si="139"/>
        <v>0</v>
      </c>
      <c r="L173" s="30">
        <f t="shared" si="139"/>
        <v>0</v>
      </c>
      <c r="M173" s="30">
        <f t="shared" si="139"/>
        <v>0</v>
      </c>
      <c r="N173" s="30">
        <f t="shared" si="139"/>
        <v>0</v>
      </c>
      <c r="O173" s="30">
        <f t="shared" si="139"/>
        <v>0</v>
      </c>
      <c r="P173" s="169">
        <f>SUM(D173:O173)</f>
        <v>1160000</v>
      </c>
    </row>
    <row r="174" spans="1:16" hidden="1" outlineLevel="2">
      <c r="A174" s="22"/>
      <c r="B174" s="28">
        <v>8150</v>
      </c>
      <c r="C174" s="29" t="s">
        <v>221</v>
      </c>
      <c r="D174" s="30">
        <f t="shared" si="138"/>
        <v>0</v>
      </c>
      <c r="E174" s="30">
        <f>N(0.84)</f>
        <v>0.84</v>
      </c>
      <c r="F174" s="30">
        <f t="shared" si="139"/>
        <v>0</v>
      </c>
      <c r="G174" s="30">
        <f t="shared" si="139"/>
        <v>0</v>
      </c>
      <c r="H174" s="30">
        <f t="shared" si="139"/>
        <v>0</v>
      </c>
      <c r="I174" s="30">
        <f t="shared" si="139"/>
        <v>0</v>
      </c>
      <c r="J174" s="30">
        <f t="shared" si="139"/>
        <v>0</v>
      </c>
      <c r="K174" s="30">
        <f t="shared" si="139"/>
        <v>0</v>
      </c>
      <c r="L174" s="30">
        <f t="shared" si="139"/>
        <v>0</v>
      </c>
      <c r="M174" s="30">
        <f t="shared" si="139"/>
        <v>0</v>
      </c>
      <c r="N174" s="30">
        <f t="shared" si="139"/>
        <v>0</v>
      </c>
      <c r="O174" s="30">
        <f t="shared" si="139"/>
        <v>0</v>
      </c>
      <c r="P174" s="169">
        <f>SUM(D174:O174)</f>
        <v>0.84</v>
      </c>
    </row>
    <row r="175" spans="1:16" hidden="1" outlineLevel="2">
      <c r="A175" s="22"/>
      <c r="B175" s="28">
        <v>8155</v>
      </c>
      <c r="C175" s="29" t="s">
        <v>222</v>
      </c>
      <c r="D175" s="30">
        <f t="shared" si="138"/>
        <v>0</v>
      </c>
      <c r="E175" s="30">
        <f>N(7.65)</f>
        <v>7.65</v>
      </c>
      <c r="F175" s="30">
        <f t="shared" si="139"/>
        <v>0</v>
      </c>
      <c r="G175" s="30">
        <f t="shared" si="139"/>
        <v>0</v>
      </c>
      <c r="H175" s="30">
        <f t="shared" si="139"/>
        <v>0</v>
      </c>
      <c r="I175" s="30">
        <f t="shared" si="139"/>
        <v>0</v>
      </c>
      <c r="J175" s="30">
        <f t="shared" si="139"/>
        <v>0</v>
      </c>
      <c r="K175" s="30">
        <f t="shared" si="139"/>
        <v>0</v>
      </c>
      <c r="L175" s="30">
        <f t="shared" si="139"/>
        <v>0</v>
      </c>
      <c r="M175" s="30">
        <f t="shared" si="139"/>
        <v>0</v>
      </c>
      <c r="N175" s="30">
        <f t="shared" si="139"/>
        <v>0</v>
      </c>
      <c r="O175" s="30">
        <f t="shared" si="139"/>
        <v>0</v>
      </c>
      <c r="P175" s="169">
        <f>SUM(D175:O175)</f>
        <v>7.65</v>
      </c>
    </row>
    <row r="176" spans="1:16" hidden="1" outlineLevel="2">
      <c r="A176" s="22"/>
      <c r="B176" s="28">
        <v>8160</v>
      </c>
      <c r="C176" s="29" t="s">
        <v>223</v>
      </c>
      <c r="D176" s="30">
        <f t="shared" si="138"/>
        <v>0</v>
      </c>
      <c r="E176" s="30">
        <f>N(43857.57)</f>
        <v>43857.57</v>
      </c>
      <c r="F176" s="30">
        <f t="shared" si="139"/>
        <v>0</v>
      </c>
      <c r="G176" s="30">
        <f t="shared" si="139"/>
        <v>0</v>
      </c>
      <c r="H176" s="30">
        <f t="shared" si="139"/>
        <v>0</v>
      </c>
      <c r="I176" s="30">
        <f t="shared" si="139"/>
        <v>0</v>
      </c>
      <c r="J176" s="30">
        <f t="shared" si="139"/>
        <v>0</v>
      </c>
      <c r="K176" s="30">
        <f t="shared" si="139"/>
        <v>0</v>
      </c>
      <c r="L176" s="30">
        <f t="shared" si="139"/>
        <v>0</v>
      </c>
      <c r="M176" s="30">
        <f t="shared" si="139"/>
        <v>0</v>
      </c>
      <c r="N176" s="30">
        <f t="shared" si="139"/>
        <v>0</v>
      </c>
      <c r="O176" s="30">
        <f t="shared" si="139"/>
        <v>0</v>
      </c>
      <c r="P176" s="169">
        <f>SUM(D176:O176)</f>
        <v>43857.57</v>
      </c>
    </row>
    <row r="177" spans="1:16" hidden="1" outlineLevel="2">
      <c r="A177" s="22"/>
      <c r="B177" s="28">
        <v>8170</v>
      </c>
      <c r="C177" s="29" t="s">
        <v>224</v>
      </c>
      <c r="D177" s="30">
        <f t="shared" si="138"/>
        <v>0</v>
      </c>
      <c r="E177" s="30">
        <f>N(0)</f>
        <v>0</v>
      </c>
      <c r="F177" s="30">
        <f t="shared" si="139"/>
        <v>0</v>
      </c>
      <c r="G177" s="30">
        <f t="shared" si="139"/>
        <v>0</v>
      </c>
      <c r="H177" s="30">
        <f t="shared" si="139"/>
        <v>0</v>
      </c>
      <c r="I177" s="30">
        <f t="shared" si="139"/>
        <v>0</v>
      </c>
      <c r="J177" s="30">
        <f t="shared" si="139"/>
        <v>0</v>
      </c>
      <c r="K177" s="30">
        <f t="shared" si="139"/>
        <v>0</v>
      </c>
      <c r="L177" s="30">
        <f t="shared" si="139"/>
        <v>0</v>
      </c>
      <c r="M177" s="30">
        <f t="shared" si="139"/>
        <v>0</v>
      </c>
      <c r="N177" s="30">
        <f t="shared" si="139"/>
        <v>0</v>
      </c>
      <c r="O177" s="30">
        <f t="shared" si="139"/>
        <v>0</v>
      </c>
      <c r="P177" s="169">
        <f>SUM(D177:O177)</f>
        <v>0</v>
      </c>
    </row>
    <row r="178" spans="1:16" outlineLevel="1" collapsed="1">
      <c r="A178" s="22"/>
      <c r="B178" s="35" t="str">
        <f>"    "&amp;"Finanskostnad"</f>
        <v xml:space="preserve">    Finanskostnad</v>
      </c>
      <c r="C178" s="36"/>
      <c r="D178" s="33">
        <f t="shared" ref="D178:P178" si="140">SUM(D173:D177)</f>
        <v>0</v>
      </c>
      <c r="E178" s="33">
        <f t="shared" si="140"/>
        <v>1203866.06</v>
      </c>
      <c r="F178" s="33">
        <f t="shared" si="140"/>
        <v>0</v>
      </c>
      <c r="G178" s="33">
        <f t="shared" si="140"/>
        <v>0</v>
      </c>
      <c r="H178" s="33">
        <f t="shared" si="140"/>
        <v>0</v>
      </c>
      <c r="I178" s="33">
        <f t="shared" si="140"/>
        <v>0</v>
      </c>
      <c r="J178" s="33">
        <f t="shared" si="140"/>
        <v>0</v>
      </c>
      <c r="K178" s="33">
        <f t="shared" si="140"/>
        <v>0</v>
      </c>
      <c r="L178" s="33">
        <f t="shared" si="140"/>
        <v>0</v>
      </c>
      <c r="M178" s="33">
        <f t="shared" si="140"/>
        <v>0</v>
      </c>
      <c r="N178" s="33">
        <f t="shared" si="140"/>
        <v>0</v>
      </c>
      <c r="O178" s="33">
        <f t="shared" si="140"/>
        <v>0</v>
      </c>
      <c r="P178" s="170">
        <f t="shared" si="140"/>
        <v>1203866.06</v>
      </c>
    </row>
    <row r="179" spans="1:16">
      <c r="A179" s="22"/>
      <c r="B179" s="41" t="s">
        <v>225</v>
      </c>
      <c r="C179" s="42"/>
      <c r="D179" s="44">
        <f t="shared" ref="D179:P179" si="141">SUM(D178)</f>
        <v>0</v>
      </c>
      <c r="E179" s="44">
        <f t="shared" si="141"/>
        <v>1203866.06</v>
      </c>
      <c r="F179" s="44">
        <f t="shared" si="141"/>
        <v>0</v>
      </c>
      <c r="G179" s="44">
        <f t="shared" si="141"/>
        <v>0</v>
      </c>
      <c r="H179" s="44">
        <f t="shared" si="141"/>
        <v>0</v>
      </c>
      <c r="I179" s="44">
        <f t="shared" si="141"/>
        <v>0</v>
      </c>
      <c r="J179" s="44">
        <f t="shared" si="141"/>
        <v>0</v>
      </c>
      <c r="K179" s="44">
        <f t="shared" si="141"/>
        <v>0</v>
      </c>
      <c r="L179" s="44">
        <f t="shared" si="141"/>
        <v>0</v>
      </c>
      <c r="M179" s="44">
        <f t="shared" si="141"/>
        <v>0</v>
      </c>
      <c r="N179" s="44">
        <f t="shared" si="141"/>
        <v>0</v>
      </c>
      <c r="O179" s="44">
        <f t="shared" si="141"/>
        <v>0</v>
      </c>
      <c r="P179" s="171">
        <f t="shared" si="141"/>
        <v>1203866.06</v>
      </c>
    </row>
    <row r="180" spans="1:16">
      <c r="A180" s="22"/>
      <c r="B180" s="48" t="s">
        <v>226</v>
      </c>
      <c r="C180" s="172"/>
      <c r="D180" s="51">
        <f t="shared" ref="D180:P180" si="142">SUM(D172)-SUM(D179)</f>
        <v>249110.3</v>
      </c>
      <c r="E180" s="51">
        <f t="shared" si="142"/>
        <v>1572070.4700000002</v>
      </c>
      <c r="F180" s="51">
        <f t="shared" si="142"/>
        <v>0</v>
      </c>
      <c r="G180" s="51">
        <f t="shared" si="142"/>
        <v>1125682.18</v>
      </c>
      <c r="H180" s="51">
        <f t="shared" si="142"/>
        <v>0</v>
      </c>
      <c r="I180" s="51">
        <f t="shared" si="142"/>
        <v>0</v>
      </c>
      <c r="J180" s="51">
        <f t="shared" si="142"/>
        <v>0</v>
      </c>
      <c r="K180" s="51">
        <f t="shared" si="142"/>
        <v>4946.3600000000006</v>
      </c>
      <c r="L180" s="51">
        <f t="shared" si="142"/>
        <v>0</v>
      </c>
      <c r="M180" s="51">
        <f t="shared" si="142"/>
        <v>0</v>
      </c>
      <c r="N180" s="51">
        <f t="shared" si="142"/>
        <v>0</v>
      </c>
      <c r="O180" s="51">
        <f t="shared" si="142"/>
        <v>0</v>
      </c>
      <c r="P180" s="173">
        <f t="shared" si="142"/>
        <v>2951809.31</v>
      </c>
    </row>
    <row r="181" spans="1:16">
      <c r="A181" s="22"/>
      <c r="B181" s="27"/>
      <c r="C181" s="24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176"/>
    </row>
    <row r="182" spans="1:16" ht="15.6">
      <c r="B182" s="77" t="s">
        <v>227</v>
      </c>
      <c r="C182" s="78"/>
      <c r="D182" s="80">
        <f t="shared" ref="D182:P182" ca="1" si="143">IFERROR(SUM(D164)+SUM(D180),0)</f>
        <v>-1772901.5800000026</v>
      </c>
      <c r="E182" s="80">
        <f t="shared" ca="1" si="143"/>
        <v>3155480.7600000012</v>
      </c>
      <c r="F182" s="80">
        <f t="shared" ca="1" si="143"/>
        <v>-78214.160000000033</v>
      </c>
      <c r="G182" s="80">
        <f t="shared" ca="1" si="143"/>
        <v>-2158356.4700000007</v>
      </c>
      <c r="H182" s="80">
        <f t="shared" ca="1" si="143"/>
        <v>-666718.91999999969</v>
      </c>
      <c r="I182" s="80">
        <f t="shared" ca="1" si="143"/>
        <v>5075.2700000000186</v>
      </c>
      <c r="J182" s="80">
        <f t="shared" ca="1" si="143"/>
        <v>-121649.78000000003</v>
      </c>
      <c r="K182" s="80">
        <f t="shared" ca="1" si="143"/>
        <v>-104254.6100000002</v>
      </c>
      <c r="L182" s="80">
        <f t="shared" ca="1" si="143"/>
        <v>-90272.75</v>
      </c>
      <c r="M182" s="80">
        <f t="shared" ca="1" si="143"/>
        <v>2939649.79</v>
      </c>
      <c r="N182" s="80">
        <f t="shared" ca="1" si="143"/>
        <v>-441249.61999999918</v>
      </c>
      <c r="O182" s="80">
        <f t="shared" ca="1" si="143"/>
        <v>-2331.2000000001863</v>
      </c>
      <c r="P182" s="177">
        <f t="shared" ca="1" si="143"/>
        <v>664256.73000000184</v>
      </c>
    </row>
    <row r="183" spans="1:16" ht="15.6">
      <c r="B183" s="178"/>
      <c r="C183" s="179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</row>
    <row r="184" spans="1:16" hidden="1" outlineLevel="2">
      <c r="A184" s="22"/>
      <c r="B184" s="28">
        <v>8914</v>
      </c>
      <c r="C184" s="29" t="s">
        <v>228</v>
      </c>
      <c r="D184" s="30">
        <f>N(-1855924.08)</f>
        <v>-1855924.08</v>
      </c>
      <c r="E184" s="30">
        <f t="shared" ref="E184:G188" si="144">N(0)</f>
        <v>0</v>
      </c>
      <c r="F184" s="30">
        <f t="shared" si="144"/>
        <v>0</v>
      </c>
      <c r="G184" s="30">
        <f>N(-2158356.47)</f>
        <v>-2158356.4700000002</v>
      </c>
      <c r="H184" s="30">
        <f t="shared" ref="H184:K188" si="145">N(0)</f>
        <v>0</v>
      </c>
      <c r="I184" s="30">
        <f t="shared" si="145"/>
        <v>0</v>
      </c>
      <c r="J184" s="30">
        <f t="shared" si="145"/>
        <v>0</v>
      </c>
      <c r="K184" s="30">
        <f>N(-104254.61)</f>
        <v>-104254.61</v>
      </c>
      <c r="L184" s="30">
        <f t="shared" ref="L184:O188" si="146">N(0)</f>
        <v>0</v>
      </c>
      <c r="M184" s="30">
        <f t="shared" si="146"/>
        <v>0</v>
      </c>
      <c r="N184" s="30">
        <f t="shared" si="146"/>
        <v>0</v>
      </c>
      <c r="O184" s="30">
        <f t="shared" si="146"/>
        <v>0</v>
      </c>
      <c r="P184" s="169">
        <f>SUM(D184:O184)</f>
        <v>-4118535.16</v>
      </c>
    </row>
    <row r="185" spans="1:16" hidden="1" outlineLevel="2">
      <c r="A185" s="22"/>
      <c r="B185" s="28">
        <v>8920</v>
      </c>
      <c r="C185" s="29" t="s">
        <v>229</v>
      </c>
      <c r="D185" s="30">
        <f>N(0)</f>
        <v>0</v>
      </c>
      <c r="E185" s="30">
        <f>N(574214.84)</f>
        <v>574214.84</v>
      </c>
      <c r="F185" s="30">
        <f t="shared" si="144"/>
        <v>0</v>
      </c>
      <c r="G185" s="30">
        <f t="shared" si="144"/>
        <v>0</v>
      </c>
      <c r="H185" s="30">
        <f t="shared" si="145"/>
        <v>0</v>
      </c>
      <c r="I185" s="30">
        <f t="shared" si="145"/>
        <v>0</v>
      </c>
      <c r="J185" s="30">
        <f t="shared" si="145"/>
        <v>0</v>
      </c>
      <c r="K185" s="30">
        <f t="shared" si="145"/>
        <v>0</v>
      </c>
      <c r="L185" s="30">
        <f t="shared" si="146"/>
        <v>0</v>
      </c>
      <c r="M185" s="30">
        <f t="shared" si="146"/>
        <v>0</v>
      </c>
      <c r="N185" s="30">
        <f t="shared" si="146"/>
        <v>0</v>
      </c>
      <c r="O185" s="30">
        <f t="shared" si="146"/>
        <v>0</v>
      </c>
      <c r="P185" s="169">
        <f>SUM(D185:O185)</f>
        <v>574214.84</v>
      </c>
    </row>
    <row r="186" spans="1:16" hidden="1" outlineLevel="2">
      <c r="A186" s="22"/>
      <c r="B186" s="28">
        <v>8930</v>
      </c>
      <c r="C186" s="29" t="s">
        <v>230</v>
      </c>
      <c r="D186" s="30">
        <f>N(83022.5)</f>
        <v>83022.5</v>
      </c>
      <c r="E186" s="30">
        <f t="shared" ref="E186:E187" si="147">N(0)</f>
        <v>0</v>
      </c>
      <c r="F186" s="30">
        <f t="shared" si="144"/>
        <v>0</v>
      </c>
      <c r="G186" s="30">
        <f t="shared" si="144"/>
        <v>0</v>
      </c>
      <c r="H186" s="30">
        <f t="shared" si="145"/>
        <v>0</v>
      </c>
      <c r="I186" s="30">
        <f t="shared" si="145"/>
        <v>0</v>
      </c>
      <c r="J186" s="30">
        <f t="shared" si="145"/>
        <v>0</v>
      </c>
      <c r="K186" s="30">
        <f t="shared" si="145"/>
        <v>0</v>
      </c>
      <c r="L186" s="30">
        <f t="shared" si="146"/>
        <v>0</v>
      </c>
      <c r="M186" s="30">
        <f t="shared" si="146"/>
        <v>0</v>
      </c>
      <c r="N186" s="30">
        <f t="shared" si="146"/>
        <v>0</v>
      </c>
      <c r="O186" s="30">
        <f t="shared" si="146"/>
        <v>0</v>
      </c>
      <c r="P186" s="169">
        <f>SUM(D186:O186)</f>
        <v>83022.5</v>
      </c>
    </row>
    <row r="187" spans="1:16" hidden="1" outlineLevel="2">
      <c r="A187" s="22"/>
      <c r="B187" s="28">
        <v>8950</v>
      </c>
      <c r="C187" s="29" t="s">
        <v>231</v>
      </c>
      <c r="D187" s="30">
        <f t="shared" ref="D187:D188" si="148">N(0)</f>
        <v>0</v>
      </c>
      <c r="E187" s="30">
        <f t="shared" si="147"/>
        <v>0</v>
      </c>
      <c r="F187" s="30">
        <f t="shared" si="144"/>
        <v>0</v>
      </c>
      <c r="G187" s="30">
        <f t="shared" si="144"/>
        <v>0</v>
      </c>
      <c r="H187" s="30">
        <f t="shared" si="145"/>
        <v>0</v>
      </c>
      <c r="I187" s="30">
        <f t="shared" si="145"/>
        <v>0</v>
      </c>
      <c r="J187" s="30">
        <f t="shared" si="145"/>
        <v>0</v>
      </c>
      <c r="K187" s="30">
        <f t="shared" si="145"/>
        <v>0</v>
      </c>
      <c r="L187" s="30">
        <f t="shared" si="146"/>
        <v>0</v>
      </c>
      <c r="M187" s="30">
        <f>N(3994203.96)</f>
        <v>3994203.96</v>
      </c>
      <c r="N187" s="30">
        <f t="shared" si="146"/>
        <v>0</v>
      </c>
      <c r="O187" s="30">
        <f t="shared" si="146"/>
        <v>0</v>
      </c>
      <c r="P187" s="169">
        <f>SUM(D187:O187)</f>
        <v>3994203.96</v>
      </c>
    </row>
    <row r="188" spans="1:16" hidden="1" outlineLevel="2">
      <c r="A188" s="22"/>
      <c r="B188" s="28">
        <v>8960</v>
      </c>
      <c r="C188" s="29" t="s">
        <v>232</v>
      </c>
      <c r="D188" s="30">
        <f t="shared" si="148"/>
        <v>0</v>
      </c>
      <c r="E188" s="30">
        <f>N(128254.59)</f>
        <v>128254.59</v>
      </c>
      <c r="F188" s="30">
        <f t="shared" si="144"/>
        <v>0</v>
      </c>
      <c r="G188" s="30">
        <f t="shared" si="144"/>
        <v>0</v>
      </c>
      <c r="H188" s="30">
        <f t="shared" si="145"/>
        <v>0</v>
      </c>
      <c r="I188" s="30">
        <f t="shared" si="145"/>
        <v>0</v>
      </c>
      <c r="J188" s="30">
        <f t="shared" si="145"/>
        <v>0</v>
      </c>
      <c r="K188" s="30">
        <f t="shared" si="145"/>
        <v>0</v>
      </c>
      <c r="L188" s="30">
        <f t="shared" si="146"/>
        <v>0</v>
      </c>
      <c r="M188" s="30">
        <f>N(0)</f>
        <v>0</v>
      </c>
      <c r="N188" s="30">
        <f t="shared" si="146"/>
        <v>0</v>
      </c>
      <c r="O188" s="30">
        <f t="shared" si="146"/>
        <v>0</v>
      </c>
      <c r="P188" s="169">
        <f>SUM(D188:O188)</f>
        <v>128254.59</v>
      </c>
    </row>
    <row r="189" spans="1:16" outlineLevel="1" collapsed="1">
      <c r="A189" s="22"/>
      <c r="B189" s="35" t="str">
        <f>"    "&amp;"Overføringer og disponeringer"</f>
        <v xml:space="preserve">    Overføringer og disponeringer</v>
      </c>
      <c r="C189" s="36"/>
      <c r="D189" s="33">
        <f t="shared" ref="D189:P189" si="149">SUM(D184:D188)</f>
        <v>-1772901.58</v>
      </c>
      <c r="E189" s="33">
        <f t="shared" si="149"/>
        <v>702469.42999999993</v>
      </c>
      <c r="F189" s="33">
        <f t="shared" si="149"/>
        <v>0</v>
      </c>
      <c r="G189" s="33">
        <f t="shared" si="149"/>
        <v>-2158356.4700000002</v>
      </c>
      <c r="H189" s="33">
        <f t="shared" si="149"/>
        <v>0</v>
      </c>
      <c r="I189" s="33">
        <f t="shared" si="149"/>
        <v>0</v>
      </c>
      <c r="J189" s="33">
        <f t="shared" si="149"/>
        <v>0</v>
      </c>
      <c r="K189" s="33">
        <f t="shared" si="149"/>
        <v>-104254.61</v>
      </c>
      <c r="L189" s="33">
        <f t="shared" si="149"/>
        <v>0</v>
      </c>
      <c r="M189" s="33">
        <f t="shared" si="149"/>
        <v>3994203.96</v>
      </c>
      <c r="N189" s="33">
        <f t="shared" si="149"/>
        <v>0</v>
      </c>
      <c r="O189" s="33">
        <f t="shared" si="149"/>
        <v>0</v>
      </c>
      <c r="P189" s="170">
        <f t="shared" si="149"/>
        <v>661160.72999999963</v>
      </c>
    </row>
    <row r="190" spans="1:16">
      <c r="A190" s="22"/>
      <c r="B190" s="89" t="s">
        <v>233</v>
      </c>
      <c r="C190" s="90"/>
      <c r="D190" s="92">
        <f t="shared" ref="D190:P190" si="150">SUM(D189)</f>
        <v>-1772901.58</v>
      </c>
      <c r="E190" s="92">
        <f t="shared" si="150"/>
        <v>702469.42999999993</v>
      </c>
      <c r="F190" s="92">
        <f t="shared" si="150"/>
        <v>0</v>
      </c>
      <c r="G190" s="92">
        <f t="shared" si="150"/>
        <v>-2158356.4700000002</v>
      </c>
      <c r="H190" s="92">
        <f t="shared" si="150"/>
        <v>0</v>
      </c>
      <c r="I190" s="92">
        <f t="shared" si="150"/>
        <v>0</v>
      </c>
      <c r="J190" s="92">
        <f t="shared" si="150"/>
        <v>0</v>
      </c>
      <c r="K190" s="92">
        <f t="shared" si="150"/>
        <v>-104254.61</v>
      </c>
      <c r="L190" s="92">
        <f t="shared" si="150"/>
        <v>0</v>
      </c>
      <c r="M190" s="92">
        <f t="shared" si="150"/>
        <v>3994203.96</v>
      </c>
      <c r="N190" s="92">
        <f t="shared" si="150"/>
        <v>0</v>
      </c>
      <c r="O190" s="92">
        <f t="shared" si="150"/>
        <v>0</v>
      </c>
      <c r="P190" s="181">
        <f t="shared" si="150"/>
        <v>661160.72999999963</v>
      </c>
    </row>
    <row r="192" spans="1:16">
      <c r="C192" s="97"/>
    </row>
    <row r="194" spans="2:3">
      <c r="B194" s="6"/>
      <c r="C194" s="6"/>
    </row>
  </sheetData>
  <pageMargins left="0.25" right="0.25" top="0.75" bottom="0.75" header="0.3" footer="0.3"/>
  <pageSetup paperSize="9" fitToHeight="0" orientation="landscape"/>
  <headerFooter>
    <oddFooter>&amp;R
Side &amp;P av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26FA8-4114-4C12-B702-617C9C840089}">
  <dimension ref="A1:O1048576"/>
  <sheetViews>
    <sheetView tabSelected="1" workbookViewId="0">
      <pane xSplit="2" ySplit="2" topLeftCell="C18" activePane="bottomRight" state="frozen"/>
      <selection pane="bottomRight" activeCell="C18" sqref="C18"/>
      <selection pane="bottomLeft" activeCell="A3" sqref="A3"/>
      <selection pane="topRight" activeCell="C1" sqref="C1"/>
    </sheetView>
  </sheetViews>
  <sheetFormatPr defaultColWidth="11.42578125" defaultRowHeight="14.45" zeroHeight="1" outlineLevelRow="2" outlineLevelCol="1"/>
  <cols>
    <col min="2" max="2" width="34.42578125" style="131" customWidth="1"/>
    <col min="3" max="3" width="14.28515625" bestFit="1" customWidth="1"/>
    <col min="4" max="4" width="14.28515625" hidden="1" customWidth="1" outlineLevel="1"/>
    <col min="5" max="5" width="14.28515625" bestFit="1" customWidth="1" collapsed="1"/>
    <col min="6" max="6" width="14.28515625" hidden="1" customWidth="1" outlineLevel="1"/>
    <col min="7" max="7" width="14.28515625" bestFit="1" customWidth="1" collapsed="1"/>
    <col min="8" max="8" width="14.28515625" hidden="1" customWidth="1" outlineLevel="1"/>
    <col min="9" max="9" width="14.28515625" bestFit="1" customWidth="1" collapsed="1"/>
  </cols>
  <sheetData>
    <row r="1" spans="1:9" ht="15.6">
      <c r="A1" s="161" t="s">
        <v>51</v>
      </c>
      <c r="C1" s="144" t="s">
        <v>52</v>
      </c>
      <c r="D1" s="144" t="s">
        <v>53</v>
      </c>
      <c r="E1" s="144" t="s">
        <v>52</v>
      </c>
      <c r="F1" s="144" t="s">
        <v>53</v>
      </c>
      <c r="G1" s="144" t="s">
        <v>52</v>
      </c>
      <c r="H1" s="144" t="s">
        <v>53</v>
      </c>
      <c r="I1" s="144" t="s">
        <v>53</v>
      </c>
    </row>
    <row r="2" spans="1:9" ht="15.6">
      <c r="C2" s="144">
        <v>2021</v>
      </c>
      <c r="D2" s="144">
        <v>2021</v>
      </c>
      <c r="E2" s="144">
        <v>2022</v>
      </c>
      <c r="F2" s="144">
        <v>2022</v>
      </c>
      <c r="G2" s="144">
        <v>2023</v>
      </c>
      <c r="H2" s="144">
        <v>2023</v>
      </c>
      <c r="I2" s="144">
        <v>2024</v>
      </c>
    </row>
    <row r="3" spans="1:9" hidden="1" outlineLevel="2">
      <c r="A3" s="28">
        <v>3100</v>
      </c>
      <c r="B3" s="132" t="s">
        <v>54</v>
      </c>
      <c r="C3" s="146">
        <f ca="1">IFERROR(VLOOKUP($A3,Resultat2021!$B$11:$J$400,3,FALSE),"")</f>
        <v>0</v>
      </c>
      <c r="D3" s="146">
        <f ca="1">IFERROR(VLOOKUP($A3,Resultat2021!$B$11:$J$400,4,FALSE),"")</f>
        <v>0</v>
      </c>
      <c r="E3" s="146">
        <f ca="1">IFERROR(VLOOKUP($A3,Resultat2022!$B$11:$J$400,3,FALSE),"")</f>
        <v>23653.25</v>
      </c>
      <c r="F3" s="146">
        <f ca="1">IFERROR(VLOOKUP($A3,Resultat2022!$B$11:$J$400,4,FALSE),"")</f>
        <v>100000</v>
      </c>
      <c r="G3" s="146">
        <f ca="1">IFERROR(VLOOKUP($A3,Resultat2023!$B$11:$J$400,3,FALSE),"")</f>
        <v>95780.75</v>
      </c>
      <c r="H3" s="146">
        <f ca="1">IFERROR(VLOOKUP($A3,Resultat2023!$B$11:$J$400,4,FALSE),"")</f>
        <v>85000</v>
      </c>
      <c r="I3" s="146">
        <f ca="1">IFERROR(VLOOKUP($A3,Budsjett2024!$B$11:$J$400,3,FALSE),"")</f>
        <v>129070</v>
      </c>
    </row>
    <row r="4" spans="1:9" hidden="1" outlineLevel="2">
      <c r="A4" s="28">
        <v>3110</v>
      </c>
      <c r="B4" s="132" t="s">
        <v>55</v>
      </c>
      <c r="C4" s="146">
        <f ca="1">IFERROR(VLOOKUP($A4,Resultat2021!$B$11:$J$400,3,FALSE),"")</f>
        <v>2000</v>
      </c>
      <c r="D4" s="146">
        <f ca="1">IFERROR(VLOOKUP($A4,Resultat2021!$B$11:$J$400,4,FALSE),"")</f>
        <v>0</v>
      </c>
      <c r="E4" s="146">
        <f ca="1">IFERROR(VLOOKUP($A4,Resultat2022!$B$11:$J$400,3,FALSE),"")</f>
        <v>11033.6</v>
      </c>
      <c r="F4" s="146">
        <f ca="1">IFERROR(VLOOKUP($A4,Resultat2022!$B$11:$J$400,4,FALSE),"")</f>
        <v>0</v>
      </c>
      <c r="G4" s="146">
        <f ca="1">IFERROR(VLOOKUP($A4,Resultat2023!$B$11:$J$400,3,FALSE),"")</f>
        <v>1733</v>
      </c>
      <c r="H4" s="146">
        <f ca="1">IFERROR(VLOOKUP($A4,Resultat2023!$B$11:$J$400,4,FALSE),"")</f>
        <v>0</v>
      </c>
      <c r="I4" s="146">
        <f ca="1">IFERROR(VLOOKUP($A4,Budsjett2024!$B$11:$J$400,3,FALSE),"")</f>
        <v>648</v>
      </c>
    </row>
    <row r="5" spans="1:9" hidden="1" outlineLevel="2">
      <c r="A5" s="28">
        <v>3700</v>
      </c>
      <c r="B5" s="132" t="s">
        <v>56</v>
      </c>
      <c r="C5" s="146">
        <f ca="1">IFERROR(VLOOKUP($A5,Resultat2021!$B$11:$J$400,3,FALSE),"")</f>
        <v>382.5</v>
      </c>
      <c r="D5" s="146">
        <f ca="1">IFERROR(VLOOKUP($A5,Resultat2021!$B$11:$J$400,4,FALSE),"")</f>
        <v>0</v>
      </c>
      <c r="E5" s="146">
        <f ca="1">IFERROR(VLOOKUP($A5,Resultat2022!$B$11:$J$400,3,FALSE),"")</f>
        <v>562.5</v>
      </c>
      <c r="F5" s="146">
        <f ca="1">IFERROR(VLOOKUP($A5,Resultat2022!$B$11:$J$400,4,FALSE),"")</f>
        <v>0</v>
      </c>
      <c r="G5" s="146">
        <f ca="1">IFERROR(VLOOKUP($A5,Resultat2023!$B$11:$J$400,3,FALSE),"")</f>
        <v>0</v>
      </c>
      <c r="H5" s="146">
        <f ca="1">IFERROR(VLOOKUP($A5,Resultat2023!$B$11:$J$400,4,FALSE),"")</f>
        <v>0</v>
      </c>
      <c r="I5" s="146" t="str">
        <f ca="1">IFERROR(VLOOKUP($A5,Budsjett2024!$B$11:$J$400,3,FALSE),"")</f>
        <v/>
      </c>
    </row>
    <row r="6" spans="1:9" hidden="1" outlineLevel="1">
      <c r="A6" s="35" t="str">
        <f>"    "&amp;"Salgsinntekt, avgiftspliktig"</f>
        <v xml:space="preserve">    Salgsinntekt, avgiftspliktig</v>
      </c>
      <c r="B6" s="35"/>
      <c r="C6" s="147">
        <f ca="1">IFERROR(VLOOKUP($A6,Resultat2021!$B$11:$J$400,3,FALSE),"")</f>
        <v>2382.5</v>
      </c>
      <c r="D6" s="147">
        <f ca="1">IFERROR(VLOOKUP($A6,Resultat2021!$B$11:$J$400,4,FALSE),"")</f>
        <v>0</v>
      </c>
      <c r="E6" s="147">
        <f ca="1">IFERROR(VLOOKUP($A6,Resultat2022!$B$11:$J$400,3,FALSE),"")</f>
        <v>35249.35</v>
      </c>
      <c r="F6" s="147">
        <f ca="1">IFERROR(VLOOKUP($A6,Resultat2022!$B$11:$J$400,4,FALSE),"")</f>
        <v>100000</v>
      </c>
      <c r="G6" s="147">
        <f ca="1">IFERROR(VLOOKUP($A6,Resultat2023!$B$11:$J$400,3,FALSE),"")</f>
        <v>97513.75</v>
      </c>
      <c r="H6" s="147">
        <f ca="1">IFERROR(VLOOKUP($A6,Resultat2023!$B$11:$J$400,4,FALSE),"")</f>
        <v>85000</v>
      </c>
      <c r="I6" s="147">
        <f ca="1">IFERROR(VLOOKUP($A6,Budsjett2024!$B$11:$J$400,3,FALSE),"")</f>
        <v>129718</v>
      </c>
    </row>
    <row r="7" spans="1:9" hidden="1" outlineLevel="2">
      <c r="A7" s="28">
        <v>3701</v>
      </c>
      <c r="B7" s="132" t="s">
        <v>57</v>
      </c>
      <c r="C7" s="146" t="str">
        <f ca="1">IFERROR(VLOOKUP($A7,Resultat2021!$B$11:$J$400,3,FALSE),"")</f>
        <v/>
      </c>
      <c r="D7" s="146" t="str">
        <f ca="1">IFERROR(VLOOKUP($A7,Resultat2021!$B$11:$J$400,4,FALSE),"")</f>
        <v/>
      </c>
      <c r="E7" s="146" t="str">
        <f ca="1">IFERROR(VLOOKUP($A7,Resultat2022!$B$11:$J$400,3,FALSE),"")</f>
        <v/>
      </c>
      <c r="F7" s="146" t="str">
        <f ca="1">IFERROR(VLOOKUP($A7,Resultat2022!$B$11:$J$400,4,FALSE),"")</f>
        <v/>
      </c>
      <c r="G7" s="146">
        <f ca="1">IFERROR(VLOOKUP($A7,Resultat2023!$B$11:$J$400,3,FALSE),"")</f>
        <v>9470</v>
      </c>
      <c r="H7" s="146">
        <f ca="1">IFERROR(VLOOKUP($A7,Resultat2023!$B$11:$J$400,4,FALSE),"")</f>
        <v>0</v>
      </c>
      <c r="I7" s="146">
        <f ca="1">IFERROR(VLOOKUP($A7,Budsjett2024!$B$11:$J$400,3,FALSE),"")</f>
        <v>9500</v>
      </c>
    </row>
    <row r="8" spans="1:9" hidden="1" outlineLevel="1">
      <c r="A8" s="35" t="str">
        <f>"    "&amp;"Salgsinntekt, avgiftsfri"</f>
        <v xml:space="preserve">    Salgsinntekt, avgiftsfri</v>
      </c>
      <c r="B8" s="35"/>
      <c r="C8" s="147" t="str">
        <f ca="1">IFERROR(VLOOKUP($A8,Resultat2021!$B$11:$J$400,3,FALSE),"")</f>
        <v/>
      </c>
      <c r="D8" s="147" t="str">
        <f ca="1">IFERROR(VLOOKUP($A8,Resultat2021!$B$11:$J$400,4,FALSE),"")</f>
        <v/>
      </c>
      <c r="E8" s="147" t="str">
        <f ca="1">IFERROR(VLOOKUP($A8,Resultat2022!$B$11:$J$400,3,FALSE),"")</f>
        <v/>
      </c>
      <c r="F8" s="147" t="str">
        <f ca="1">IFERROR(VLOOKUP($A8,Resultat2022!$B$11:$J$400,4,FALSE),"")</f>
        <v/>
      </c>
      <c r="G8" s="147">
        <f ca="1">IFERROR(VLOOKUP($A8,Resultat2023!$B$11:$J$400,3,FALSE),"")</f>
        <v>9470</v>
      </c>
      <c r="H8" s="147">
        <f ca="1">IFERROR(VLOOKUP($A8,Resultat2023!$B$11:$J$400,4,FALSE),"")</f>
        <v>0</v>
      </c>
      <c r="I8" s="147">
        <f ca="1">IFERROR(VLOOKUP($A8,Budsjett2024!$B$11:$J$400,3,FALSE),"")</f>
        <v>9500</v>
      </c>
    </row>
    <row r="9" spans="1:9" hidden="1" outlineLevel="2">
      <c r="A9" s="28">
        <v>3200</v>
      </c>
      <c r="B9" s="132" t="s">
        <v>58</v>
      </c>
      <c r="C9" s="146">
        <f ca="1">IFERROR(VLOOKUP($A9,Resultat2021!$B$11:$J$400,3,FALSE),"")</f>
        <v>384750</v>
      </c>
      <c r="D9" s="146">
        <f ca="1">IFERROR(VLOOKUP($A9,Resultat2021!$B$11:$J$400,4,FALSE),"")</f>
        <v>431000</v>
      </c>
      <c r="E9" s="146">
        <f ca="1">IFERROR(VLOOKUP($A9,Resultat2022!$B$11:$J$400,3,FALSE),"")</f>
        <v>1939984</v>
      </c>
      <c r="F9" s="146">
        <f ca="1">IFERROR(VLOOKUP($A9,Resultat2022!$B$11:$J$400,4,FALSE),"")</f>
        <v>3465000</v>
      </c>
      <c r="G9" s="146">
        <f ca="1">IFERROR(VLOOKUP($A9,Resultat2023!$B$11:$J$400,3,FALSE),"")</f>
        <v>3803091.94</v>
      </c>
      <c r="H9" s="146">
        <f ca="1">IFERROR(VLOOKUP($A9,Resultat2023!$B$11:$J$400,4,FALSE),"")</f>
        <v>3242200</v>
      </c>
      <c r="I9" s="146">
        <f ca="1">IFERROR(VLOOKUP($A9,Budsjett2024!$B$11:$J$400,3,FALSE),"")</f>
        <v>3548010</v>
      </c>
    </row>
    <row r="10" spans="1:9" hidden="1" outlineLevel="2">
      <c r="A10" s="28">
        <v>3201</v>
      </c>
      <c r="B10" s="132" t="s">
        <v>59</v>
      </c>
      <c r="C10" s="146">
        <f ca="1">IFERROR(VLOOKUP($A10,Resultat2021!$B$11:$J$400,3,FALSE),"")</f>
        <v>76400.179999999993</v>
      </c>
      <c r="D10" s="146">
        <f ca="1">IFERROR(VLOOKUP($A10,Resultat2021!$B$11:$J$400,4,FALSE),"")</f>
        <v>0</v>
      </c>
      <c r="E10" s="146">
        <f ca="1">IFERROR(VLOOKUP($A10,Resultat2022!$B$11:$J$400,3,FALSE),"")</f>
        <v>0</v>
      </c>
      <c r="F10" s="146">
        <f ca="1">IFERROR(VLOOKUP($A10,Resultat2022!$B$11:$J$400,4,FALSE),"")</f>
        <v>0</v>
      </c>
      <c r="G10" s="146" t="str">
        <f ca="1">IFERROR(VLOOKUP($A10,Resultat2023!$B$11:$J$400,3,FALSE),"")</f>
        <v/>
      </c>
      <c r="H10" s="146" t="str">
        <f ca="1">IFERROR(VLOOKUP($A10,Resultat2023!$B$11:$J$400,4,FALSE),"")</f>
        <v/>
      </c>
      <c r="I10" s="146" t="str">
        <f ca="1">IFERROR(VLOOKUP($A10,Budsjett2024!$B$11:$J$400,3,FALSE),"")</f>
        <v/>
      </c>
    </row>
    <row r="11" spans="1:9" hidden="1" outlineLevel="2">
      <c r="A11" s="28">
        <v>3202</v>
      </c>
      <c r="B11" s="132" t="s">
        <v>60</v>
      </c>
      <c r="C11" s="146" t="str">
        <f ca="1">IFERROR(VLOOKUP($A11,Resultat2021!$B$11:$J$400,3,FALSE),"")</f>
        <v/>
      </c>
      <c r="D11" s="146" t="str">
        <f ca="1">IFERROR(VLOOKUP($A11,Resultat2021!$B$11:$J$400,4,FALSE),"")</f>
        <v/>
      </c>
      <c r="E11" s="146" t="str">
        <f ca="1">IFERROR(VLOOKUP($A11,Resultat2022!$B$11:$J$400,3,FALSE),"")</f>
        <v/>
      </c>
      <c r="F11" s="146" t="str">
        <f ca="1">IFERROR(VLOOKUP($A11,Resultat2022!$B$11:$J$400,4,FALSE),"")</f>
        <v/>
      </c>
      <c r="G11" s="146">
        <f ca="1">IFERROR(VLOOKUP($A11,Resultat2023!$B$11:$J$400,3,FALSE),"")</f>
        <v>10000</v>
      </c>
      <c r="H11" s="146">
        <f ca="1">IFERROR(VLOOKUP($A11,Resultat2023!$B$11:$J$400,4,FALSE),"")</f>
        <v>0</v>
      </c>
      <c r="I11" s="146">
        <f ca="1">IFERROR(VLOOKUP($A11,Budsjett2024!$B$11:$J$400,3,FALSE),"")</f>
        <v>17000</v>
      </c>
    </row>
    <row r="12" spans="1:9" hidden="1" outlineLevel="2">
      <c r="A12" s="28">
        <v>3205</v>
      </c>
      <c r="B12" s="132" t="s">
        <v>61</v>
      </c>
      <c r="C12" s="146">
        <f ca="1">IFERROR(VLOOKUP($A12,Resultat2021!$B$11:$J$400,3,FALSE),"")</f>
        <v>59108.1</v>
      </c>
      <c r="D12" s="146">
        <f ca="1">IFERROR(VLOOKUP($A12,Resultat2021!$B$11:$J$400,4,FALSE),"")</f>
        <v>0</v>
      </c>
      <c r="E12" s="146">
        <f ca="1">IFERROR(VLOOKUP($A12,Resultat2022!$B$11:$J$400,3,FALSE),"")</f>
        <v>212330</v>
      </c>
      <c r="F12" s="146">
        <f ca="1">IFERROR(VLOOKUP($A12,Resultat2022!$B$11:$J$400,4,FALSE),"")</f>
        <v>135000</v>
      </c>
      <c r="G12" s="146">
        <f ca="1">IFERROR(VLOOKUP($A12,Resultat2023!$B$11:$J$400,3,FALSE),"")</f>
        <v>283858</v>
      </c>
      <c r="H12" s="146">
        <f ca="1">IFERROR(VLOOKUP($A12,Resultat2023!$B$11:$J$400,4,FALSE),"")</f>
        <v>200000</v>
      </c>
      <c r="I12" s="146">
        <f ca="1">IFERROR(VLOOKUP($A12,Budsjett2024!$B$11:$J$400,3,FALSE),"")</f>
        <v>250885</v>
      </c>
    </row>
    <row r="13" spans="1:9" hidden="1" outlineLevel="2">
      <c r="A13" s="28">
        <v>3226</v>
      </c>
      <c r="B13" s="132" t="s">
        <v>62</v>
      </c>
      <c r="C13" s="146">
        <f ca="1">IFERROR(VLOOKUP($A13,Resultat2021!$B$11:$J$400,3,FALSE),"")</f>
        <v>0</v>
      </c>
      <c r="D13" s="146">
        <f ca="1">IFERROR(VLOOKUP($A13,Resultat2021!$B$11:$J$400,4,FALSE),"")</f>
        <v>0</v>
      </c>
      <c r="E13" s="146">
        <f ca="1">IFERROR(VLOOKUP($A13,Resultat2022!$B$11:$J$400,3,FALSE),"")</f>
        <v>100000</v>
      </c>
      <c r="F13" s="146">
        <f ca="1">IFERROR(VLOOKUP($A13,Resultat2022!$B$11:$J$400,4,FALSE),"")</f>
        <v>10000</v>
      </c>
      <c r="G13" s="146">
        <f ca="1">IFERROR(VLOOKUP($A13,Resultat2023!$B$11:$J$400,3,FALSE),"")</f>
        <v>210000</v>
      </c>
      <c r="H13" s="146">
        <f ca="1">IFERROR(VLOOKUP($A13,Resultat2023!$B$11:$J$400,4,FALSE),"")</f>
        <v>150000</v>
      </c>
      <c r="I13" s="146">
        <f ca="1">IFERROR(VLOOKUP($A13,Budsjett2024!$B$11:$J$400,3,FALSE),"")</f>
        <v>210000</v>
      </c>
    </row>
    <row r="14" spans="1:9" hidden="1" outlineLevel="2">
      <c r="A14" s="28">
        <v>3605</v>
      </c>
      <c r="B14" s="132" t="s">
        <v>63</v>
      </c>
      <c r="C14" s="146" t="str">
        <f ca="1">IFERROR(VLOOKUP($A14,Resultat2021!$B$11:$J$400,3,FALSE),"")</f>
        <v/>
      </c>
      <c r="D14" s="146" t="str">
        <f ca="1">IFERROR(VLOOKUP($A14,Resultat2021!$B$11:$J$400,4,FALSE),"")</f>
        <v/>
      </c>
      <c r="E14" s="146" t="str">
        <f ca="1">IFERROR(VLOOKUP($A14,Resultat2022!$B$11:$J$400,3,FALSE),"")</f>
        <v/>
      </c>
      <c r="F14" s="146" t="str">
        <f ca="1">IFERROR(VLOOKUP($A14,Resultat2022!$B$11:$J$400,4,FALSE),"")</f>
        <v/>
      </c>
      <c r="G14" s="146">
        <f ca="1">IFERROR(VLOOKUP($A14,Resultat2023!$B$11:$J$400,3,FALSE),"")</f>
        <v>0</v>
      </c>
      <c r="H14" s="146">
        <f ca="1">IFERROR(VLOOKUP($A14,Resultat2023!$B$11:$J$400,4,FALSE),"")</f>
        <v>0</v>
      </c>
      <c r="I14" s="146">
        <f ca="1">IFERROR(VLOOKUP($A14,Budsjett2024!$B$11:$J$400,3,FALSE),"")</f>
        <v>0</v>
      </c>
    </row>
    <row r="15" spans="1:9" hidden="1" outlineLevel="2">
      <c r="A15" s="28">
        <v>3990</v>
      </c>
      <c r="B15" s="132" t="s">
        <v>64</v>
      </c>
      <c r="C15" s="146" t="str">
        <f ca="1">IFERROR(VLOOKUP($A15,Resultat2021!$B$11:$J$400,3,FALSE),"")</f>
        <v/>
      </c>
      <c r="D15" s="146" t="str">
        <f ca="1">IFERROR(VLOOKUP($A15,Resultat2021!$B$11:$J$400,4,FALSE),"")</f>
        <v/>
      </c>
      <c r="E15" s="146" t="str">
        <f ca="1">IFERROR(VLOOKUP($A15,Resultat2022!$B$11:$J$400,3,FALSE),"")</f>
        <v/>
      </c>
      <c r="F15" s="146" t="str">
        <f ca="1">IFERROR(VLOOKUP($A15,Resultat2022!$B$11:$J$400,4,FALSE),"")</f>
        <v/>
      </c>
      <c r="G15" s="146">
        <f ca="1">IFERROR(VLOOKUP($A15,Resultat2023!$B$11:$J$400,3,FALSE),"")</f>
        <v>-912606.21</v>
      </c>
      <c r="H15" s="146">
        <f ca="1">IFERROR(VLOOKUP($A15,Resultat2023!$B$11:$J$400,4,FALSE),"")</f>
        <v>0</v>
      </c>
      <c r="I15" s="146">
        <f ca="1">IFERROR(VLOOKUP($A15,Budsjett2024!$B$11:$J$400,3,FALSE),"")</f>
        <v>0</v>
      </c>
    </row>
    <row r="16" spans="1:9" hidden="1" outlineLevel="2">
      <c r="A16" s="28">
        <v>3415</v>
      </c>
      <c r="B16" s="132" t="s">
        <v>65</v>
      </c>
      <c r="C16" s="146">
        <f ca="1">IFERROR(VLOOKUP($A16,Resultat2021!$B$11:$J$400,3,FALSE),"")</f>
        <v>237595</v>
      </c>
      <c r="D16" s="146">
        <f ca="1">IFERROR(VLOOKUP($A16,Resultat2021!$B$11:$J$400,4,FALSE),"")</f>
        <v>181200</v>
      </c>
      <c r="E16" s="146">
        <f ca="1">IFERROR(VLOOKUP($A16,Resultat2022!$B$11:$J$400,3,FALSE),"")</f>
        <v>0</v>
      </c>
      <c r="F16" s="146">
        <f ca="1">IFERROR(VLOOKUP($A16,Resultat2022!$B$11:$J$400,4,FALSE),"")</f>
        <v>0</v>
      </c>
      <c r="G16" s="146" t="str">
        <f ca="1">IFERROR(VLOOKUP($A16,Resultat2023!$B$11:$J$400,3,FALSE),"")</f>
        <v/>
      </c>
      <c r="H16" s="146" t="str">
        <f ca="1">IFERROR(VLOOKUP($A16,Resultat2023!$B$11:$J$400,4,FALSE),"")</f>
        <v/>
      </c>
      <c r="I16" s="146" t="str">
        <f ca="1">IFERROR(VLOOKUP($A16,Budsjett2024!$B$11:$J$400,3,FALSE),"")</f>
        <v/>
      </c>
    </row>
    <row r="17" spans="1:9" hidden="1" outlineLevel="1">
      <c r="A17" s="35" t="str">
        <f>"    "&amp;"Arrangement"</f>
        <v xml:space="preserve">    Arrangement</v>
      </c>
      <c r="B17" s="35"/>
      <c r="C17" s="147">
        <f ca="1">IFERROR(VLOOKUP($A17,Resultat2021!$B$11:$J$400,3,FALSE),"")</f>
        <v>757853.28</v>
      </c>
      <c r="D17" s="147">
        <f ca="1">IFERROR(VLOOKUP($A17,Resultat2021!$B$11:$J$400,4,FALSE),"")</f>
        <v>612200</v>
      </c>
      <c r="E17" s="147">
        <f ca="1">IFERROR(VLOOKUP($A17,Resultat2022!$B$11:$J$400,3,FALSE),"")</f>
        <v>2252314</v>
      </c>
      <c r="F17" s="147">
        <f ca="1">IFERROR(VLOOKUP($A17,Resultat2022!$B$11:$J$400,4,FALSE),"")</f>
        <v>3610000</v>
      </c>
      <c r="G17" s="147">
        <f ca="1">IFERROR(VLOOKUP($A17,Resultat2023!$B$11:$J$400,3,FALSE),"")</f>
        <v>3394343.7299999995</v>
      </c>
      <c r="H17" s="147">
        <f ca="1">IFERROR(VLOOKUP($A17,Resultat2023!$B$11:$J$400,4,FALSE),"")</f>
        <v>3592200</v>
      </c>
      <c r="I17" s="147">
        <f ca="1">IFERROR(VLOOKUP($A17,Budsjett2024!$B$11:$J$400,3,FALSE),"")</f>
        <v>4025895</v>
      </c>
    </row>
    <row r="18" spans="1:9" collapsed="1">
      <c r="A18" s="41" t="s">
        <v>9</v>
      </c>
      <c r="B18" s="133"/>
      <c r="C18" s="148">
        <f ca="1">IFERROR(VLOOKUP($A18,Resultat2021!$B$11:$J$400,3,FALSE),"")</f>
        <v>760235.78</v>
      </c>
      <c r="D18" s="148">
        <f ca="1">IFERROR(VLOOKUP($A18,Resultat2021!$B$11:$J$400,4,FALSE),"")</f>
        <v>612200</v>
      </c>
      <c r="E18" s="148">
        <f ca="1">IFERROR(VLOOKUP($A18,Resultat2022!$B$11:$J$400,3,FALSE),"")</f>
        <v>2287563.35</v>
      </c>
      <c r="F18" s="148">
        <f ca="1">IFERROR(VLOOKUP($A18,Resultat2022!$B$11:$J$400,4,FALSE),"")</f>
        <v>3710000</v>
      </c>
      <c r="G18" s="148">
        <f ca="1">IFERROR(VLOOKUP($A18,Resultat2023!$B$11:$J$400,3,FALSE),"")</f>
        <v>3501327.4799999995</v>
      </c>
      <c r="H18" s="148">
        <f ca="1">IFERROR(VLOOKUP($A18,Resultat2023!$B$11:$J$400,4,FALSE),"")</f>
        <v>3677200</v>
      </c>
      <c r="I18" s="148">
        <f ca="1">IFERROR(VLOOKUP($A18,Budsjett2024!$B$11:$J$400,3,FALSE),"")</f>
        <v>4165113</v>
      </c>
    </row>
    <row r="19" spans="1:9" hidden="1" outlineLevel="2">
      <c r="A19" s="28">
        <v>3216</v>
      </c>
      <c r="B19" s="132" t="s">
        <v>66</v>
      </c>
      <c r="C19" s="146" t="str">
        <f ca="1">IFERROR(VLOOKUP($A19,Resultat2021!$B$11:$J$400,3,FALSE),"")</f>
        <v/>
      </c>
      <c r="D19" s="146" t="str">
        <f ca="1">IFERROR(VLOOKUP($A19,Resultat2021!$B$11:$J$400,4,FALSE),"")</f>
        <v/>
      </c>
      <c r="E19" s="146">
        <f ca="1">IFERROR(VLOOKUP($A19,Resultat2022!$B$11:$J$400,3,FALSE),"")</f>
        <v>125000</v>
      </c>
      <c r="F19" s="146">
        <f ca="1">IFERROR(VLOOKUP($A19,Resultat2022!$B$11:$J$400,4,FALSE),"")</f>
        <v>0</v>
      </c>
      <c r="G19" s="146">
        <f ca="1">IFERROR(VLOOKUP($A19,Resultat2023!$B$11:$J$400,3,FALSE),"")</f>
        <v>0</v>
      </c>
      <c r="H19" s="146">
        <f ca="1">IFERROR(VLOOKUP($A19,Resultat2023!$B$11:$J$400,4,FALSE),"")</f>
        <v>0</v>
      </c>
      <c r="I19" s="146" t="str">
        <f ca="1">IFERROR(VLOOKUP($A19,Budsjett2024!$B$11:$J$400,3,FALSE),"")</f>
        <v/>
      </c>
    </row>
    <row r="20" spans="1:9" hidden="1" outlineLevel="2">
      <c r="A20" s="28">
        <v>3218</v>
      </c>
      <c r="B20" s="132" t="s">
        <v>67</v>
      </c>
      <c r="C20" s="146">
        <f ca="1">IFERROR(VLOOKUP($A20,Resultat2021!$B$11:$J$400,3,FALSE),"")</f>
        <v>9675.5</v>
      </c>
      <c r="D20" s="146">
        <f ca="1">IFERROR(VLOOKUP($A20,Resultat2021!$B$11:$J$400,4,FALSE),"")</f>
        <v>0</v>
      </c>
      <c r="E20" s="146">
        <f ca="1">IFERROR(VLOOKUP($A20,Resultat2022!$B$11:$J$400,3,FALSE),"")</f>
        <v>22170</v>
      </c>
      <c r="F20" s="146">
        <f ca="1">IFERROR(VLOOKUP($A20,Resultat2022!$B$11:$J$400,4,FALSE),"")</f>
        <v>0</v>
      </c>
      <c r="G20" s="146">
        <f ca="1">IFERROR(VLOOKUP($A20,Resultat2023!$B$11:$J$400,3,FALSE),"")</f>
        <v>4540641.72</v>
      </c>
      <c r="H20" s="146">
        <f ca="1">IFERROR(VLOOKUP($A20,Resultat2023!$B$11:$J$400,4,FALSE),"")</f>
        <v>0</v>
      </c>
      <c r="I20" s="146">
        <f ca="1">IFERROR(VLOOKUP($A20,Budsjett2024!$B$11:$J$400,3,FALSE),"")</f>
        <v>0</v>
      </c>
    </row>
    <row r="21" spans="1:9" hidden="1" outlineLevel="2">
      <c r="A21" s="28">
        <v>3235</v>
      </c>
      <c r="B21" s="132" t="s">
        <v>68</v>
      </c>
      <c r="C21" s="146">
        <f ca="1">IFERROR(VLOOKUP($A21,Resultat2021!$B$11:$J$400,3,FALSE),"")</f>
        <v>0</v>
      </c>
      <c r="D21" s="146">
        <f ca="1">IFERROR(VLOOKUP($A21,Resultat2021!$B$11:$J$400,4,FALSE),"")</f>
        <v>0</v>
      </c>
      <c r="E21" s="146" t="str">
        <f ca="1">IFERROR(VLOOKUP($A21,Resultat2022!$B$11:$J$400,3,FALSE),"")</f>
        <v/>
      </c>
      <c r="F21" s="146" t="str">
        <f ca="1">IFERROR(VLOOKUP($A21,Resultat2022!$B$11:$J$400,4,FALSE),"")</f>
        <v/>
      </c>
      <c r="G21" s="146" t="str">
        <f ca="1">IFERROR(VLOOKUP($A21,Resultat2023!$B$11:$J$400,3,FALSE),"")</f>
        <v/>
      </c>
      <c r="H21" s="146" t="str">
        <f ca="1">IFERROR(VLOOKUP($A21,Resultat2023!$B$11:$J$400,4,FALSE),"")</f>
        <v/>
      </c>
      <c r="I21" s="146" t="str">
        <f ca="1">IFERROR(VLOOKUP($A21,Budsjett2024!$B$11:$J$400,3,FALSE),"")</f>
        <v/>
      </c>
    </row>
    <row r="22" spans="1:9" hidden="1" outlineLevel="2">
      <c r="A22" s="28">
        <v>3238</v>
      </c>
      <c r="B22" s="132" t="s">
        <v>69</v>
      </c>
      <c r="C22" s="146">
        <f ca="1">IFERROR(VLOOKUP($A22,Resultat2021!$B$11:$J$400,3,FALSE),"")</f>
        <v>1900334.09</v>
      </c>
      <c r="D22" s="146">
        <f ca="1">IFERROR(VLOOKUP($A22,Resultat2021!$B$11:$J$400,4,FALSE),"")</f>
        <v>1795000</v>
      </c>
      <c r="E22" s="146">
        <f ca="1">IFERROR(VLOOKUP($A22,Resultat2022!$B$11:$J$400,3,FALSE),"")</f>
        <v>2879253.85</v>
      </c>
      <c r="F22" s="146">
        <f ca="1">IFERROR(VLOOKUP($A22,Resultat2022!$B$11:$J$400,4,FALSE),"")</f>
        <v>1965000</v>
      </c>
      <c r="G22" s="146">
        <f ca="1">IFERROR(VLOOKUP($A22,Resultat2023!$B$11:$J$400,3,FALSE),"")</f>
        <v>2695174.78</v>
      </c>
      <c r="H22" s="146">
        <f ca="1">IFERROR(VLOOKUP($A22,Resultat2023!$B$11:$J$400,4,FALSE),"")</f>
        <v>2065000</v>
      </c>
      <c r="I22" s="146">
        <f ca="1">IFERROR(VLOOKUP($A22,Budsjett2024!$B$11:$J$400,3,FALSE),"")</f>
        <v>2945001</v>
      </c>
    </row>
    <row r="23" spans="1:9" hidden="1" outlineLevel="1">
      <c r="A23" s="35" t="str">
        <f>"    "&amp;"Gaver"</f>
        <v xml:space="preserve">    Gaver</v>
      </c>
      <c r="B23" s="35"/>
      <c r="C23" s="147">
        <f ca="1">IFERROR(VLOOKUP($A23,Resultat2021!$B$11:$J$400,3,FALSE),"")</f>
        <v>1910009.59</v>
      </c>
      <c r="D23" s="147">
        <f ca="1">IFERROR(VLOOKUP($A23,Resultat2021!$B$11:$J$400,4,FALSE),"")</f>
        <v>1795000</v>
      </c>
      <c r="E23" s="147">
        <f ca="1">IFERROR(VLOOKUP($A23,Resultat2022!$B$11:$J$400,3,FALSE),"")</f>
        <v>3026423.85</v>
      </c>
      <c r="F23" s="147">
        <f ca="1">IFERROR(VLOOKUP($A23,Resultat2022!$B$11:$J$400,4,FALSE),"")</f>
        <v>1965000</v>
      </c>
      <c r="G23" s="147">
        <f ca="1">IFERROR(VLOOKUP($A23,Resultat2023!$B$11:$J$400,3,FALSE),"")</f>
        <v>7235816.5</v>
      </c>
      <c r="H23" s="147">
        <f ca="1">IFERROR(VLOOKUP($A23,Resultat2023!$B$11:$J$400,4,FALSE),"")</f>
        <v>2065000</v>
      </c>
      <c r="I23" s="147">
        <f ca="1">IFERROR(VLOOKUP($A23,Budsjett2024!$B$11:$J$400,3,FALSE),"")</f>
        <v>2945001</v>
      </c>
    </row>
    <row r="24" spans="1:9" collapsed="1">
      <c r="A24" s="41" t="s">
        <v>70</v>
      </c>
      <c r="B24" s="133"/>
      <c r="C24" s="148">
        <f ca="1">IFERROR(VLOOKUP($A24,Resultat2021!$B$11:$J$400,3,FALSE),"")</f>
        <v>1910009.59</v>
      </c>
      <c r="D24" s="148">
        <f ca="1">IFERROR(VLOOKUP($A24,Resultat2021!$B$11:$J$400,4,FALSE),"")</f>
        <v>1795000</v>
      </c>
      <c r="E24" s="148">
        <f ca="1">IFERROR(VLOOKUP($A24,Resultat2022!$B$11:$J$400,3,FALSE),"")</f>
        <v>3026423.85</v>
      </c>
      <c r="F24" s="148">
        <f ca="1">IFERROR(VLOOKUP($A24,Resultat2022!$B$11:$J$400,4,FALSE),"")</f>
        <v>1965000</v>
      </c>
      <c r="G24" s="148">
        <f ca="1">IFERROR(VLOOKUP($A24,Resultat2023!$B$11:$J$400,3,FALSE),"")</f>
        <v>7235816.5</v>
      </c>
      <c r="H24" s="148">
        <f ca="1">IFERROR(VLOOKUP($A24,Resultat2023!$B$11:$J$400,4,FALSE),"")</f>
        <v>2065000</v>
      </c>
      <c r="I24" s="148">
        <f ca="1">IFERROR(VLOOKUP($A24,Budsjett2024!$B$11:$J$400,3,FALSE),"")</f>
        <v>2945001</v>
      </c>
    </row>
    <row r="25" spans="1:9" hidden="1" outlineLevel="2">
      <c r="A25" s="28">
        <v>3225</v>
      </c>
      <c r="B25" s="132" t="s">
        <v>71</v>
      </c>
      <c r="C25" s="146">
        <f ca="1">IFERROR(VLOOKUP($A25,Resultat2021!$B$11:$J$400,3,FALSE),"")</f>
        <v>284420</v>
      </c>
      <c r="D25" s="146">
        <f ca="1">IFERROR(VLOOKUP($A25,Resultat2021!$B$11:$J$400,4,FALSE),"")</f>
        <v>400000</v>
      </c>
      <c r="E25" s="146">
        <f ca="1">IFERROR(VLOOKUP($A25,Resultat2022!$B$11:$J$400,3,FALSE),"")</f>
        <v>319070</v>
      </c>
      <c r="F25" s="146">
        <f ca="1">IFERROR(VLOOKUP($A25,Resultat2022!$B$11:$J$400,4,FALSE),"")</f>
        <v>415000</v>
      </c>
      <c r="G25" s="146">
        <f ca="1">IFERROR(VLOOKUP($A25,Resultat2023!$B$11:$J$400,3,FALSE),"")</f>
        <v>218950</v>
      </c>
      <c r="H25" s="146">
        <f ca="1">IFERROR(VLOOKUP($A25,Resultat2023!$B$11:$J$400,4,FALSE),"")</f>
        <v>325000</v>
      </c>
      <c r="I25" s="146">
        <f ca="1">IFERROR(VLOOKUP($A25,Budsjett2024!$B$11:$J$400,3,FALSE),"")</f>
        <v>264190</v>
      </c>
    </row>
    <row r="26" spans="1:9" hidden="1" outlineLevel="2">
      <c r="A26" s="28">
        <v>3410</v>
      </c>
      <c r="B26" s="132" t="s">
        <v>22</v>
      </c>
      <c r="C26" s="146">
        <f ca="1">IFERROR(VLOOKUP($A26,Resultat2021!$B$11:$J$400,3,FALSE),"")</f>
        <v>3891232.1</v>
      </c>
      <c r="D26" s="146">
        <f ca="1">IFERROR(VLOOKUP($A26,Resultat2021!$B$11:$J$400,4,FALSE),"")</f>
        <v>3972000</v>
      </c>
      <c r="E26" s="146">
        <f ca="1">IFERROR(VLOOKUP($A26,Resultat2022!$B$11:$J$400,3,FALSE),"")</f>
        <v>2631764</v>
      </c>
      <c r="F26" s="146">
        <f ca="1">IFERROR(VLOOKUP($A26,Resultat2022!$B$11:$J$400,4,FALSE),"")</f>
        <v>4700000</v>
      </c>
      <c r="G26" s="146">
        <f ca="1">IFERROR(VLOOKUP($A26,Resultat2023!$B$11:$J$400,3,FALSE),"")</f>
        <v>1710885.15</v>
      </c>
      <c r="H26" s="146">
        <f ca="1">IFERROR(VLOOKUP($A26,Resultat2023!$B$11:$J$400,4,FALSE),"")</f>
        <v>4707746</v>
      </c>
      <c r="I26" s="146">
        <f ca="1">IFERROR(VLOOKUP($A26,Budsjett2024!$B$11:$J$400,3,FALSE),"")</f>
        <v>2688926</v>
      </c>
    </row>
    <row r="27" spans="1:9" hidden="1" outlineLevel="2">
      <c r="A27" s="28">
        <v>3411</v>
      </c>
      <c r="B27" s="132" t="s">
        <v>23</v>
      </c>
      <c r="C27" s="146">
        <f ca="1">IFERROR(VLOOKUP($A27,Resultat2021!$B$11:$J$400,3,FALSE),"")</f>
        <v>272386.65999999997</v>
      </c>
      <c r="D27" s="146">
        <f ca="1">IFERROR(VLOOKUP($A27,Resultat2021!$B$11:$J$400,4,FALSE),"")</f>
        <v>278000</v>
      </c>
      <c r="E27" s="146">
        <f ca="1">IFERROR(VLOOKUP($A27,Resultat2022!$B$11:$J$400,3,FALSE),"")</f>
        <v>184223.71</v>
      </c>
      <c r="F27" s="146">
        <f ca="1">IFERROR(VLOOKUP($A27,Resultat2022!$B$11:$J$400,4,FALSE),"")</f>
        <v>307150</v>
      </c>
      <c r="G27" s="146">
        <f ca="1">IFERROR(VLOOKUP($A27,Resultat2023!$B$11:$J$400,3,FALSE),"")</f>
        <v>135819.04</v>
      </c>
      <c r="H27" s="146">
        <f ca="1">IFERROR(VLOOKUP($A27,Resultat2023!$B$11:$J$400,4,FALSE),"")</f>
        <v>318541</v>
      </c>
      <c r="I27" s="146">
        <f ca="1">IFERROR(VLOOKUP($A27,Budsjett2024!$B$11:$J$400,3,FALSE),"")</f>
        <v>202393</v>
      </c>
    </row>
    <row r="28" spans="1:9" hidden="1" outlineLevel="2">
      <c r="A28" s="28">
        <v>3412</v>
      </c>
      <c r="B28" s="132" t="s">
        <v>24</v>
      </c>
      <c r="C28" s="146">
        <f ca="1">IFERROR(VLOOKUP($A28,Resultat2021!$B$11:$J$400,3,FALSE),"")</f>
        <v>261338</v>
      </c>
      <c r="D28" s="146">
        <f ca="1">IFERROR(VLOOKUP($A28,Resultat2021!$B$11:$J$400,4,FALSE),"")</f>
        <v>0</v>
      </c>
      <c r="E28" s="146">
        <f ca="1">IFERROR(VLOOKUP($A28,Resultat2022!$B$11:$J$400,3,FALSE),"")</f>
        <v>0</v>
      </c>
      <c r="F28" s="146">
        <f ca="1">IFERROR(VLOOKUP($A28,Resultat2022!$B$11:$J$400,4,FALSE),"")</f>
        <v>0</v>
      </c>
      <c r="G28" s="146" t="str">
        <f ca="1">IFERROR(VLOOKUP($A28,Resultat2023!$B$11:$J$400,3,FALSE),"")</f>
        <v/>
      </c>
      <c r="H28" s="146" t="str">
        <f ca="1">IFERROR(VLOOKUP($A28,Resultat2023!$B$11:$J$400,4,FALSE),"")</f>
        <v/>
      </c>
      <c r="I28" s="146" t="str">
        <f ca="1">IFERROR(VLOOKUP($A28,Budsjett2024!$B$11:$J$400,3,FALSE),"")</f>
        <v/>
      </c>
    </row>
    <row r="29" spans="1:9" hidden="1" outlineLevel="2">
      <c r="A29" s="28">
        <v>3450</v>
      </c>
      <c r="B29" s="132" t="s">
        <v>72</v>
      </c>
      <c r="C29" s="146">
        <f ca="1">IFERROR(VLOOKUP($A29,Resultat2021!$B$11:$J$400,3,FALSE),"")</f>
        <v>11597823</v>
      </c>
      <c r="D29" s="146">
        <f ca="1">IFERROR(VLOOKUP($A29,Resultat2021!$B$11:$J$400,4,FALSE),"")</f>
        <v>11597790</v>
      </c>
      <c r="E29" s="146">
        <f ca="1">IFERROR(VLOOKUP($A29,Resultat2022!$B$11:$J$400,3,FALSE),"")</f>
        <v>11915127</v>
      </c>
      <c r="F29" s="146">
        <f ca="1">IFERROR(VLOOKUP($A29,Resultat2022!$B$11:$J$400,4,FALSE),"")</f>
        <v>11600000</v>
      </c>
      <c r="G29" s="146">
        <f ca="1">IFERROR(VLOOKUP($A29,Resultat2023!$B$11:$J$400,3,FALSE),"")</f>
        <v>12380207.4</v>
      </c>
      <c r="H29" s="146">
        <f ca="1">IFERROR(VLOOKUP($A29,Resultat2023!$B$11:$J$400,4,FALSE),"")</f>
        <v>11850000</v>
      </c>
      <c r="I29" s="146">
        <f ca="1">IFERROR(VLOOKUP($A29,Budsjett2024!$B$11:$J$400,3,FALSE),"")</f>
        <v>13394000</v>
      </c>
    </row>
    <row r="30" spans="1:9" hidden="1" outlineLevel="1">
      <c r="A30" s="35" t="str">
        <f>"    "&amp;"Offentlige tilskudd og refusjoner"</f>
        <v xml:space="preserve">    Offentlige tilskudd og refusjoner</v>
      </c>
      <c r="B30" s="35"/>
      <c r="C30" s="147">
        <f ca="1">IFERROR(VLOOKUP($A30,Resultat2021!$B$11:$J$400,3,FALSE),"")</f>
        <v>16307199.76</v>
      </c>
      <c r="D30" s="147">
        <f ca="1">IFERROR(VLOOKUP($A30,Resultat2021!$B$11:$J$400,4,FALSE),"")</f>
        <v>16247790</v>
      </c>
      <c r="E30" s="147">
        <f ca="1">IFERROR(VLOOKUP($A30,Resultat2022!$B$11:$J$400,3,FALSE),"")</f>
        <v>15050184.710000001</v>
      </c>
      <c r="F30" s="147">
        <f ca="1">IFERROR(VLOOKUP($A30,Resultat2022!$B$11:$J$400,4,FALSE),"")</f>
        <v>17022150</v>
      </c>
      <c r="G30" s="147">
        <f ca="1">IFERROR(VLOOKUP($A30,Resultat2023!$B$11:$J$400,3,FALSE),"")</f>
        <v>14445861.59</v>
      </c>
      <c r="H30" s="147">
        <f ca="1">IFERROR(VLOOKUP($A30,Resultat2023!$B$11:$J$400,4,FALSE),"")</f>
        <v>17201287</v>
      </c>
      <c r="I30" s="147">
        <f ca="1">IFERROR(VLOOKUP($A30,Budsjett2024!$B$11:$J$400,3,FALSE),"")</f>
        <v>16549509</v>
      </c>
    </row>
    <row r="31" spans="1:9" hidden="1" outlineLevel="2">
      <c r="A31" s="28">
        <v>3210</v>
      </c>
      <c r="B31" s="132" t="s">
        <v>27</v>
      </c>
      <c r="C31" s="146">
        <f ca="1">IFERROR(VLOOKUP($A31,Resultat2021!$B$11:$J$400,3,FALSE),"")</f>
        <v>9767101.0399999991</v>
      </c>
      <c r="D31" s="146">
        <f ca="1">IFERROR(VLOOKUP($A31,Resultat2021!$B$11:$J$400,4,FALSE),"")</f>
        <v>9624270</v>
      </c>
      <c r="E31" s="146">
        <f ca="1">IFERROR(VLOOKUP($A31,Resultat2022!$B$11:$J$400,3,FALSE),"")</f>
        <v>10762240</v>
      </c>
      <c r="F31" s="146">
        <f ca="1">IFERROR(VLOOKUP($A31,Resultat2022!$B$11:$J$400,4,FALSE),"")</f>
        <v>11100000</v>
      </c>
      <c r="G31" s="146">
        <f ca="1">IFERROR(VLOOKUP($A31,Resultat2023!$B$11:$J$400,3,FALSE),"")</f>
        <v>13084800</v>
      </c>
      <c r="H31" s="146">
        <f ca="1">IFERROR(VLOOKUP($A31,Resultat2023!$B$11:$J$400,4,FALSE),"")</f>
        <v>13250000</v>
      </c>
      <c r="I31" s="146">
        <f ca="1">IFERROR(VLOOKUP($A31,Budsjett2024!$B$11:$J$400,3,FALSE),"")</f>
        <v>14094000</v>
      </c>
    </row>
    <row r="32" spans="1:9" hidden="1" outlineLevel="2">
      <c r="A32" s="28">
        <v>3212</v>
      </c>
      <c r="B32" s="132" t="s">
        <v>28</v>
      </c>
      <c r="C32" s="146">
        <f ca="1">IFERROR(VLOOKUP($A32,Resultat2021!$B$11:$J$400,3,FALSE),"")</f>
        <v>2584948.96</v>
      </c>
      <c r="D32" s="146">
        <f ca="1">IFERROR(VLOOKUP($A32,Resultat2021!$B$11:$J$400,4,FALSE),"")</f>
        <v>2677500</v>
      </c>
      <c r="E32" s="146">
        <f ca="1">IFERROR(VLOOKUP($A32,Resultat2022!$B$11:$J$400,3,FALSE),"")</f>
        <v>2690560</v>
      </c>
      <c r="F32" s="146">
        <f ca="1">IFERROR(VLOOKUP($A32,Resultat2022!$B$11:$J$400,4,FALSE),"")</f>
        <v>2784000</v>
      </c>
      <c r="G32" s="146">
        <f ca="1">IFERROR(VLOOKUP($A32,Resultat2023!$B$11:$J$400,3,FALSE),"")</f>
        <v>0</v>
      </c>
      <c r="H32" s="146">
        <f ca="1">IFERROR(VLOOKUP($A32,Resultat2023!$B$11:$J$400,4,FALSE),"")</f>
        <v>0</v>
      </c>
      <c r="I32" s="146">
        <f ca="1">IFERROR(VLOOKUP($A32,Budsjett2024!$B$11:$J$400,3,FALSE),"")</f>
        <v>0</v>
      </c>
    </row>
    <row r="33" spans="1:9" hidden="1" outlineLevel="2">
      <c r="A33" s="28">
        <v>3215</v>
      </c>
      <c r="B33" s="132" t="s">
        <v>73</v>
      </c>
      <c r="C33" s="146">
        <f ca="1">IFERROR(VLOOKUP($A33,Resultat2021!$B$11:$J$400,3,FALSE),"")</f>
        <v>0</v>
      </c>
      <c r="D33" s="146">
        <f ca="1">IFERROR(VLOOKUP($A33,Resultat2021!$B$11:$J$400,4,FALSE),"")</f>
        <v>-1</v>
      </c>
      <c r="E33" s="146">
        <f ca="1">IFERROR(VLOOKUP($A33,Resultat2022!$B$11:$J$400,3,FALSE),"")</f>
        <v>0</v>
      </c>
      <c r="F33" s="146">
        <f ca="1">IFERROR(VLOOKUP($A33,Resultat2022!$B$11:$J$400,4,FALSE),"")</f>
        <v>-200</v>
      </c>
      <c r="G33" s="146">
        <f ca="1">IFERROR(VLOOKUP($A33,Resultat2023!$B$11:$J$400,3,FALSE),"")</f>
        <v>0</v>
      </c>
      <c r="H33" s="146">
        <f ca="1">IFERROR(VLOOKUP($A33,Resultat2023!$B$11:$J$400,4,FALSE),"")</f>
        <v>-287</v>
      </c>
      <c r="I33" s="146">
        <f ca="1">IFERROR(VLOOKUP($A33,Budsjett2024!$B$11:$J$400,3,FALSE),"")</f>
        <v>100299</v>
      </c>
    </row>
    <row r="34" spans="1:9" hidden="1" outlineLevel="2">
      <c r="A34" s="28">
        <v>3230</v>
      </c>
      <c r="B34" s="132" t="s">
        <v>74</v>
      </c>
      <c r="C34" s="146">
        <f ca="1">IFERROR(VLOOKUP($A34,Resultat2021!$B$11:$J$400,3,FALSE),"")</f>
        <v>10028616.300000001</v>
      </c>
      <c r="D34" s="146">
        <f ca="1">IFERROR(VLOOKUP($A34,Resultat2021!$B$11:$J$400,4,FALSE),"")</f>
        <v>9900000</v>
      </c>
      <c r="E34" s="146">
        <f ca="1">IFERROR(VLOOKUP($A34,Resultat2022!$B$11:$J$400,3,FALSE),"")</f>
        <v>9224591.9299999997</v>
      </c>
      <c r="F34" s="146">
        <f ca="1">IFERROR(VLOOKUP($A34,Resultat2022!$B$11:$J$400,4,FALSE),"")</f>
        <v>10000000</v>
      </c>
      <c r="G34" s="146">
        <f ca="1">IFERROR(VLOOKUP($A34,Resultat2023!$B$11:$J$400,3,FALSE),"")</f>
        <v>9551472.1799999997</v>
      </c>
      <c r="H34" s="146">
        <f ca="1">IFERROR(VLOOKUP($A34,Resultat2023!$B$11:$J$400,4,FALSE),"")</f>
        <v>9500000</v>
      </c>
      <c r="I34" s="146">
        <f ca="1">IFERROR(VLOOKUP($A34,Budsjett2024!$B$11:$J$400,3,FALSE),"")</f>
        <v>10500000</v>
      </c>
    </row>
    <row r="35" spans="1:9" hidden="1" outlineLevel="1">
      <c r="A35" s="35" t="str">
        <f>"    "&amp;"Tilskudd frikirkens menigheter"</f>
        <v xml:space="preserve">    Tilskudd frikirkens menigheter</v>
      </c>
      <c r="B35" s="35"/>
      <c r="C35" s="147">
        <f ca="1">IFERROR(VLOOKUP($A35,Resultat2021!$B$11:$J$400,3,FALSE),"")</f>
        <v>22380666.300000001</v>
      </c>
      <c r="D35" s="147">
        <f ca="1">IFERROR(VLOOKUP($A35,Resultat2021!$B$11:$J$400,4,FALSE),"")</f>
        <v>22201769</v>
      </c>
      <c r="E35" s="147">
        <f ca="1">IFERROR(VLOOKUP($A35,Resultat2022!$B$11:$J$400,3,FALSE),"")</f>
        <v>22677391.93</v>
      </c>
      <c r="F35" s="147">
        <f ca="1">IFERROR(VLOOKUP($A35,Resultat2022!$B$11:$J$400,4,FALSE),"")</f>
        <v>23883800</v>
      </c>
      <c r="G35" s="147">
        <f ca="1">IFERROR(VLOOKUP($A35,Resultat2023!$B$11:$J$400,3,FALSE),"")</f>
        <v>22636272.18</v>
      </c>
      <c r="H35" s="147">
        <f ca="1">IFERROR(VLOOKUP($A35,Resultat2023!$B$11:$J$400,4,FALSE),"")</f>
        <v>22749713</v>
      </c>
      <c r="I35" s="147">
        <f ca="1">IFERROR(VLOOKUP($A35,Budsjett2024!$B$11:$J$400,3,FALSE),"")</f>
        <v>24694299</v>
      </c>
    </row>
    <row r="36" spans="1:9" hidden="1" outlineLevel="2">
      <c r="A36" s="28">
        <v>3807</v>
      </c>
      <c r="B36" s="132" t="s">
        <v>75</v>
      </c>
      <c r="C36" s="146" t="str">
        <f ca="1">IFERROR(VLOOKUP($A36,Resultat2021!$B$11:$J$400,3,FALSE),"")</f>
        <v/>
      </c>
      <c r="D36" s="146" t="str">
        <f ca="1">IFERROR(VLOOKUP($A36,Resultat2021!$B$11:$J$400,4,FALSE),"")</f>
        <v/>
      </c>
      <c r="E36" s="146">
        <f ca="1">IFERROR(VLOOKUP($A36,Resultat2022!$B$11:$J$400,3,FALSE),"")</f>
        <v>15000</v>
      </c>
      <c r="F36" s="146">
        <f ca="1">IFERROR(VLOOKUP($A36,Resultat2022!$B$11:$J$400,4,FALSE),"")</f>
        <v>0</v>
      </c>
      <c r="G36" s="146">
        <f ca="1">IFERROR(VLOOKUP($A36,Resultat2023!$B$11:$J$400,3,FALSE),"")</f>
        <v>0</v>
      </c>
      <c r="H36" s="146">
        <f ca="1">IFERROR(VLOOKUP($A36,Resultat2023!$B$11:$J$400,4,FALSE),"")</f>
        <v>0</v>
      </c>
      <c r="I36" s="146" t="str">
        <f ca="1">IFERROR(VLOOKUP($A36,Budsjett2024!$B$11:$J$400,3,FALSE),"")</f>
        <v/>
      </c>
    </row>
    <row r="37" spans="1:9" hidden="1" outlineLevel="1">
      <c r="A37" s="35" t="str">
        <f>"    "&amp;"Gevinst ved avgang av anleggsmidler"</f>
        <v xml:space="preserve">    Gevinst ved avgang av anleggsmidler</v>
      </c>
      <c r="B37" s="35"/>
      <c r="C37" s="147" t="str">
        <f ca="1">IFERROR(VLOOKUP($A37,Resultat2021!$B$11:$J$400,3,FALSE),"")</f>
        <v/>
      </c>
      <c r="D37" s="147" t="str">
        <f ca="1">IFERROR(VLOOKUP($A37,Resultat2021!$B$11:$J$400,4,FALSE),"")</f>
        <v/>
      </c>
      <c r="E37" s="147">
        <f ca="1">IFERROR(VLOOKUP($A37,Resultat2022!$B$11:$J$400,3,FALSE),"")</f>
        <v>15000</v>
      </c>
      <c r="F37" s="147">
        <f ca="1">IFERROR(VLOOKUP($A37,Resultat2022!$B$11:$J$400,4,FALSE),"")</f>
        <v>0</v>
      </c>
      <c r="G37" s="147">
        <f ca="1">IFERROR(VLOOKUP($A37,Resultat2023!$B$11:$J$400,3,FALSE),"")</f>
        <v>0</v>
      </c>
      <c r="H37" s="147">
        <f ca="1">IFERROR(VLOOKUP($A37,Resultat2023!$B$11:$J$400,4,FALSE),"")</f>
        <v>0</v>
      </c>
      <c r="I37" s="147" t="str">
        <f ca="1">IFERROR(VLOOKUP($A37,Budsjett2024!$B$11:$J$400,3,FALSE),"")</f>
        <v/>
      </c>
    </row>
    <row r="38" spans="1:9" hidden="1" outlineLevel="2">
      <c r="A38" s="28">
        <v>3211</v>
      </c>
      <c r="B38" s="132" t="s">
        <v>76</v>
      </c>
      <c r="C38" s="146">
        <f ca="1">IFERROR(VLOOKUP($A38,Resultat2021!$B$11:$J$400,3,FALSE),"")</f>
        <v>125000</v>
      </c>
      <c r="D38" s="146">
        <f ca="1">IFERROR(VLOOKUP($A38,Resultat2021!$B$11:$J$400,4,FALSE),"")</f>
        <v>125000</v>
      </c>
      <c r="E38" s="146">
        <f ca="1">IFERROR(VLOOKUP($A38,Resultat2022!$B$11:$J$400,3,FALSE),"")</f>
        <v>0</v>
      </c>
      <c r="F38" s="146">
        <f ca="1">IFERROR(VLOOKUP($A38,Resultat2022!$B$11:$J$400,4,FALSE),"")</f>
        <v>125000</v>
      </c>
      <c r="G38" s="146">
        <f ca="1">IFERROR(VLOOKUP($A38,Resultat2023!$B$11:$J$400,3,FALSE),"")</f>
        <v>0</v>
      </c>
      <c r="H38" s="146">
        <f ca="1">IFERROR(VLOOKUP($A38,Resultat2023!$B$11:$J$400,4,FALSE),"")</f>
        <v>0</v>
      </c>
      <c r="I38" s="146" t="str">
        <f ca="1">IFERROR(VLOOKUP($A38,Budsjett2024!$B$11:$J$400,3,FALSE),"")</f>
        <v/>
      </c>
    </row>
    <row r="39" spans="1:9" hidden="1" outlineLevel="2">
      <c r="A39" s="28">
        <v>3455</v>
      </c>
      <c r="B39" s="132" t="s">
        <v>77</v>
      </c>
      <c r="C39" s="146">
        <f ca="1">IFERROR(VLOOKUP($A39,Resultat2021!$B$11:$J$400,3,FALSE),"")</f>
        <v>1459028</v>
      </c>
      <c r="D39" s="146">
        <f ca="1">IFERROR(VLOOKUP($A39,Resultat2021!$B$11:$J$400,4,FALSE),"")</f>
        <v>1250000</v>
      </c>
      <c r="E39" s="146">
        <f ca="1">IFERROR(VLOOKUP($A39,Resultat2022!$B$11:$J$400,3,FALSE),"")</f>
        <v>1493808</v>
      </c>
      <c r="F39" s="146">
        <f ca="1">IFERROR(VLOOKUP($A39,Resultat2022!$B$11:$J$400,4,FALSE),"")</f>
        <v>1251300</v>
      </c>
      <c r="G39" s="146">
        <f ca="1">IFERROR(VLOOKUP($A39,Resultat2023!$B$11:$J$400,3,FALSE),"")</f>
        <v>1732230</v>
      </c>
      <c r="H39" s="146">
        <f ca="1">IFERROR(VLOOKUP($A39,Resultat2023!$B$11:$J$400,4,FALSE),"")</f>
        <v>1421000</v>
      </c>
      <c r="I39" s="146">
        <f ca="1">IFERROR(VLOOKUP($A39,Budsjett2024!$B$11:$J$400,3,FALSE),"")</f>
        <v>1421000</v>
      </c>
    </row>
    <row r="40" spans="1:9" hidden="1" outlineLevel="2">
      <c r="A40" s="28">
        <v>3600</v>
      </c>
      <c r="B40" s="132" t="s">
        <v>78</v>
      </c>
      <c r="C40" s="146">
        <f ca="1">IFERROR(VLOOKUP($A40,Resultat2021!$B$11:$J$400,3,FALSE),"")</f>
        <v>418207.33</v>
      </c>
      <c r="D40" s="146">
        <f ca="1">IFERROR(VLOOKUP($A40,Resultat2021!$B$11:$J$400,4,FALSE),"")</f>
        <v>427300</v>
      </c>
      <c r="E40" s="146">
        <f ca="1">IFERROR(VLOOKUP($A40,Resultat2022!$B$11:$J$400,3,FALSE),"")</f>
        <v>416271.69</v>
      </c>
      <c r="F40" s="146">
        <f ca="1">IFERROR(VLOOKUP($A40,Resultat2022!$B$11:$J$400,4,FALSE),"")</f>
        <v>372850</v>
      </c>
      <c r="G40" s="146">
        <f ca="1">IFERROR(VLOOKUP($A40,Resultat2023!$B$11:$J$400,3,FALSE),"")</f>
        <v>494386.16</v>
      </c>
      <c r="H40" s="146">
        <f ca="1">IFERROR(VLOOKUP($A40,Resultat2023!$B$11:$J$400,4,FALSE),"")</f>
        <v>372850</v>
      </c>
      <c r="I40" s="146">
        <f ca="1">IFERROR(VLOOKUP($A40,Budsjett2024!$B$11:$J$400,3,FALSE),"")</f>
        <v>575534</v>
      </c>
    </row>
    <row r="41" spans="1:9" hidden="1" outlineLevel="2">
      <c r="A41" s="28">
        <v>3900</v>
      </c>
      <c r="B41" s="132" t="s">
        <v>79</v>
      </c>
      <c r="C41" s="146">
        <f ca="1">IFERROR(VLOOKUP($A41,Resultat2021!$B$11:$J$400,3,FALSE),"")</f>
        <v>251648.75</v>
      </c>
      <c r="D41" s="146">
        <f ca="1">IFERROR(VLOOKUP($A41,Resultat2021!$B$11:$J$400,4,FALSE),"")</f>
        <v>0</v>
      </c>
      <c r="E41" s="146">
        <f ca="1">IFERROR(VLOOKUP($A41,Resultat2022!$B$11:$J$400,3,FALSE),"")</f>
        <v>56530.62</v>
      </c>
      <c r="F41" s="146">
        <f ca="1">IFERROR(VLOOKUP($A41,Resultat2022!$B$11:$J$400,4,FALSE),"")</f>
        <v>78500.08</v>
      </c>
      <c r="G41" s="146">
        <f ca="1">IFERROR(VLOOKUP($A41,Resultat2023!$B$11:$J$400,3,FALSE),"")</f>
        <v>707429.24</v>
      </c>
      <c r="H41" s="146">
        <f ca="1">IFERROR(VLOOKUP($A41,Resultat2023!$B$11:$J$400,4,FALSE),"")</f>
        <v>28500.080000000002</v>
      </c>
      <c r="I41" s="146">
        <f ca="1">IFERROR(VLOOKUP($A41,Budsjett2024!$B$11:$J$400,3,FALSE),"")</f>
        <v>28019</v>
      </c>
    </row>
    <row r="42" spans="1:9" hidden="1" outlineLevel="1">
      <c r="A42" s="35" t="str">
        <f>"    "&amp;"Annen driftsrelatert inntekt"</f>
        <v xml:space="preserve">    Annen driftsrelatert inntekt</v>
      </c>
      <c r="B42" s="35"/>
      <c r="C42" s="147">
        <f ca="1">IFERROR(VLOOKUP($A42,Resultat2021!$B$11:$J$400,3,FALSE),"")</f>
        <v>2253884.08</v>
      </c>
      <c r="D42" s="147">
        <f ca="1">IFERROR(VLOOKUP($A42,Resultat2021!$B$11:$J$400,4,FALSE),"")</f>
        <v>1802300</v>
      </c>
      <c r="E42" s="147">
        <f ca="1">IFERROR(VLOOKUP($A42,Resultat2022!$B$11:$J$400,3,FALSE),"")</f>
        <v>1966610.31</v>
      </c>
      <c r="F42" s="147">
        <f ca="1">IFERROR(VLOOKUP($A42,Resultat2022!$B$11:$J$400,4,FALSE),"")</f>
        <v>1827650.08</v>
      </c>
      <c r="G42" s="147">
        <f ca="1">IFERROR(VLOOKUP($A42,Resultat2023!$B$11:$J$400,3,FALSE),"")</f>
        <v>2934045.4000000004</v>
      </c>
      <c r="H42" s="147">
        <f ca="1">IFERROR(VLOOKUP($A42,Resultat2023!$B$11:$J$400,4,FALSE),"")</f>
        <v>1822350.08</v>
      </c>
      <c r="I42" s="147">
        <f ca="1">IFERROR(VLOOKUP($A42,Budsjett2024!$B$11:$J$400,3,FALSE),"")</f>
        <v>2024553</v>
      </c>
    </row>
    <row r="43" spans="1:9" collapsed="1">
      <c r="A43" s="41" t="s">
        <v>80</v>
      </c>
      <c r="B43" s="133"/>
      <c r="C43" s="148">
        <f ca="1">IFERROR(VLOOKUP($A43,Resultat2021!$B$11:$J$400,3,FALSE),"")</f>
        <v>40941750.140000001</v>
      </c>
      <c r="D43" s="148">
        <f ca="1">IFERROR(VLOOKUP($A43,Resultat2021!$B$11:$J$400,4,FALSE),"")</f>
        <v>40251859</v>
      </c>
      <c r="E43" s="148">
        <f ca="1">IFERROR(VLOOKUP($A43,Resultat2022!$B$11:$J$400,3,FALSE),"")</f>
        <v>39709186.950000003</v>
      </c>
      <c r="F43" s="148">
        <f ca="1">IFERROR(VLOOKUP($A43,Resultat2022!$B$11:$J$400,4,FALSE),"")</f>
        <v>42733600.079999998</v>
      </c>
      <c r="G43" s="148">
        <f ca="1">IFERROR(VLOOKUP($A43,Resultat2023!$B$11:$J$400,3,FALSE),"")</f>
        <v>40016179.169999994</v>
      </c>
      <c r="H43" s="148">
        <f ca="1">IFERROR(VLOOKUP($A43,Resultat2023!$B$11:$J$400,4,FALSE),"")</f>
        <v>41773350.079999998</v>
      </c>
      <c r="I43" s="148">
        <f ca="1">IFERROR(VLOOKUP($A43,Budsjett2024!$B$11:$J$400,3,FALSE),"")</f>
        <v>43268361</v>
      </c>
    </row>
    <row r="44" spans="1:9">
      <c r="A44" s="48" t="s">
        <v>10</v>
      </c>
      <c r="B44" s="134"/>
      <c r="C44" s="145">
        <f ca="1">IFERROR(VLOOKUP($A44,Resultat2021!$B$11:$J$400,3,FALSE),"")</f>
        <v>43611995.509999998</v>
      </c>
      <c r="D44" s="145">
        <f ca="1">IFERROR(VLOOKUP($A44,Resultat2021!$B$11:$J$400,4,FALSE),"")</f>
        <v>42659059</v>
      </c>
      <c r="E44" s="145">
        <f ca="1">IFERROR(VLOOKUP($A44,Resultat2022!$B$11:$J$400,3,FALSE),"")</f>
        <v>45023174.150000006</v>
      </c>
      <c r="F44" s="145">
        <f ca="1">IFERROR(VLOOKUP($A44,Resultat2022!$B$11:$J$400,4,FALSE),"")</f>
        <v>48408600.079999998</v>
      </c>
      <c r="G44" s="145">
        <f ca="1">IFERROR(VLOOKUP($A44,Resultat2023!$B$11:$J$400,3,FALSE),"")</f>
        <v>50753323.149999991</v>
      </c>
      <c r="H44" s="145">
        <f ca="1">IFERROR(VLOOKUP($A44,Resultat2023!$B$11:$J$400,4,FALSE),"")</f>
        <v>47515550.079999998</v>
      </c>
      <c r="I44" s="145">
        <f ca="1">IFERROR(VLOOKUP($A44,Budsjett2024!$B$11:$J$400,3,FALSE),"")</f>
        <v>50378475</v>
      </c>
    </row>
    <row r="45" spans="1:9">
      <c r="A45" s="23"/>
      <c r="B45" s="57"/>
      <c r="C45" s="149" t="str">
        <f ca="1">IFERROR(VLOOKUP($A45,Resultat2021!$B$11:$J$400,3,FALSE),"")</f>
        <v/>
      </c>
      <c r="D45" s="149" t="str">
        <f ca="1">IFERROR(VLOOKUP($A45,Resultat2021!$B$11:$J$400,4,FALSE),"")</f>
        <v/>
      </c>
      <c r="E45" s="149" t="str">
        <f ca="1">IFERROR(VLOOKUP($A45,Resultat2022!$B$11:$J$400,3,FALSE),"")</f>
        <v/>
      </c>
      <c r="F45" s="149" t="str">
        <f ca="1">IFERROR(VLOOKUP($A45,Resultat2022!$B$11:$J$400,4,FALSE),"")</f>
        <v/>
      </c>
      <c r="G45" s="149" t="str">
        <f ca="1">IFERROR(VLOOKUP($A45,Resultat2023!$B$11:$J$400,3,FALSE),"")</f>
        <v/>
      </c>
      <c r="H45" s="149" t="str">
        <f ca="1">IFERROR(VLOOKUP($A45,Resultat2023!$B$11:$J$400,4,FALSE),"")</f>
        <v/>
      </c>
      <c r="I45" s="149" t="str">
        <f ca="1">IFERROR(VLOOKUP($A45,Budsjett2024!$B$11:$J$400,3,FALSE),"")</f>
        <v/>
      </c>
    </row>
    <row r="46" spans="1:9" hidden="1" outlineLevel="2">
      <c r="A46" s="28">
        <v>4301</v>
      </c>
      <c r="B46" s="132" t="s">
        <v>81</v>
      </c>
      <c r="C46" s="146">
        <f ca="1">IFERROR(VLOOKUP($A46,Resultat2021!$B$11:$J$400,3,FALSE),"")</f>
        <v>26419.37</v>
      </c>
      <c r="D46" s="146">
        <f ca="1">IFERROR(VLOOKUP($A46,Resultat2021!$B$11:$J$400,4,FALSE),"")</f>
        <v>0.02</v>
      </c>
      <c r="E46" s="146">
        <f ca="1">IFERROR(VLOOKUP($A46,Resultat2022!$B$11:$J$400,3,FALSE),"")</f>
        <v>205504.23</v>
      </c>
      <c r="F46" s="146">
        <f ca="1">IFERROR(VLOOKUP($A46,Resultat2022!$B$11:$J$400,4,FALSE),"")</f>
        <v>100000.02</v>
      </c>
      <c r="G46" s="146">
        <f ca="1">IFERROR(VLOOKUP($A46,Resultat2023!$B$11:$J$400,3,FALSE),"")</f>
        <v>316380.27</v>
      </c>
      <c r="H46" s="146">
        <f ca="1">IFERROR(VLOOKUP($A46,Resultat2023!$B$11:$J$400,4,FALSE),"")</f>
        <v>155000.01</v>
      </c>
      <c r="I46" s="146">
        <f ca="1">IFERROR(VLOOKUP($A46,Budsjett2024!$B$11:$J$400,3,FALSE),"")</f>
        <v>227089.6</v>
      </c>
    </row>
    <row r="47" spans="1:9" hidden="1" outlineLevel="2">
      <c r="A47" s="28">
        <v>4305</v>
      </c>
      <c r="B47" s="132" t="s">
        <v>82</v>
      </c>
      <c r="C47" s="146">
        <f ca="1">IFERROR(VLOOKUP($A47,Resultat2021!$B$11:$J$400,3,FALSE),"")</f>
        <v>0</v>
      </c>
      <c r="D47" s="146">
        <f ca="1">IFERROR(VLOOKUP($A47,Resultat2021!$B$11:$J$400,4,FALSE),"")</f>
        <v>0</v>
      </c>
      <c r="E47" s="146">
        <f ca="1">IFERROR(VLOOKUP($A47,Resultat2022!$B$11:$J$400,3,FALSE),"")</f>
        <v>47372</v>
      </c>
      <c r="F47" s="146">
        <f ca="1">IFERROR(VLOOKUP($A47,Resultat2022!$B$11:$J$400,4,FALSE),"")</f>
        <v>64000</v>
      </c>
      <c r="G47" s="146">
        <f ca="1">IFERROR(VLOOKUP($A47,Resultat2023!$B$11:$J$400,3,FALSE),"")</f>
        <v>65369</v>
      </c>
      <c r="H47" s="146">
        <f ca="1">IFERROR(VLOOKUP($A47,Resultat2023!$B$11:$J$400,4,FALSE),"")</f>
        <v>84000</v>
      </c>
      <c r="I47" s="146">
        <f ca="1">IFERROR(VLOOKUP($A47,Budsjett2024!$B$11:$J$400,3,FALSE),"")</f>
        <v>97920</v>
      </c>
    </row>
    <row r="48" spans="1:9" hidden="1" outlineLevel="2">
      <c r="A48" s="28">
        <v>4360</v>
      </c>
      <c r="B48" s="132" t="s">
        <v>83</v>
      </c>
      <c r="C48" s="146">
        <f ca="1">IFERROR(VLOOKUP($A48,Resultat2021!$B$11:$J$400,3,FALSE),"")</f>
        <v>0</v>
      </c>
      <c r="D48" s="146">
        <f ca="1">IFERROR(VLOOKUP($A48,Resultat2021!$B$11:$J$400,4,FALSE),"")</f>
        <v>0</v>
      </c>
      <c r="E48" s="146">
        <f ca="1">IFERROR(VLOOKUP($A48,Resultat2022!$B$11:$J$400,3,FALSE),"")</f>
        <v>28627.5</v>
      </c>
      <c r="F48" s="146">
        <f ca="1">IFERROR(VLOOKUP($A48,Resultat2022!$B$11:$J$400,4,FALSE),"")</f>
        <v>36000</v>
      </c>
      <c r="G48" s="146">
        <f ca="1">IFERROR(VLOOKUP($A48,Resultat2023!$B$11:$J$400,3,FALSE),"")</f>
        <v>53775.18</v>
      </c>
      <c r="H48" s="146">
        <f ca="1">IFERROR(VLOOKUP($A48,Resultat2023!$B$11:$J$400,4,FALSE),"")</f>
        <v>38000</v>
      </c>
      <c r="I48" s="146">
        <f ca="1">IFERROR(VLOOKUP($A48,Budsjett2024!$B$11:$J$400,3,FALSE),"")</f>
        <v>63435</v>
      </c>
    </row>
    <row r="49" spans="1:9" hidden="1" outlineLevel="1">
      <c r="A49" s="35" t="str">
        <f>"    "&amp;"Forbruk av innkjøpte varer for videresalg"</f>
        <v xml:space="preserve">    Forbruk av innkjøpte varer for videresalg</v>
      </c>
      <c r="B49" s="35"/>
      <c r="C49" s="147">
        <f ca="1">IFERROR(VLOOKUP($A49,Resultat2021!$B$11:$J$400,3,FALSE),"")</f>
        <v>26419.37</v>
      </c>
      <c r="D49" s="147">
        <f ca="1">IFERROR(VLOOKUP($A49,Resultat2021!$B$11:$J$400,4,FALSE),"")</f>
        <v>0.02</v>
      </c>
      <c r="E49" s="147">
        <f ca="1">IFERROR(VLOOKUP($A49,Resultat2022!$B$11:$J$400,3,FALSE),"")</f>
        <v>281503.73</v>
      </c>
      <c r="F49" s="147">
        <f ca="1">IFERROR(VLOOKUP($A49,Resultat2022!$B$11:$J$400,4,FALSE),"")</f>
        <v>250000.02000000002</v>
      </c>
      <c r="G49" s="147">
        <f ca="1">IFERROR(VLOOKUP($A49,Resultat2023!$B$11:$J$400,3,FALSE),"")</f>
        <v>435524.45</v>
      </c>
      <c r="H49" s="147">
        <f ca="1">IFERROR(VLOOKUP($A49,Resultat2023!$B$11:$J$400,4,FALSE),"")</f>
        <v>277000.01</v>
      </c>
      <c r="I49" s="147">
        <f ca="1">IFERROR(VLOOKUP($A49,Budsjett2024!$B$11:$J$400,3,FALSE),"")</f>
        <v>388444.6</v>
      </c>
    </row>
    <row r="50" spans="1:9" collapsed="1">
      <c r="A50" s="41" t="s">
        <v>16</v>
      </c>
      <c r="B50" s="133"/>
      <c r="C50" s="148">
        <f ca="1">IFERROR(VLOOKUP($A50,Resultat2021!$B$11:$J$400,3,FALSE),"")</f>
        <v>26419.37</v>
      </c>
      <c r="D50" s="148">
        <f ca="1">IFERROR(VLOOKUP($A50,Resultat2021!$B$11:$J$400,4,FALSE),"")</f>
        <v>0.02</v>
      </c>
      <c r="E50" s="148">
        <f ca="1">IFERROR(VLOOKUP($A50,Resultat2022!$B$11:$J$400,3,FALSE),"")</f>
        <v>281503.73</v>
      </c>
      <c r="F50" s="148">
        <f ca="1">IFERROR(VLOOKUP($A50,Resultat2022!$B$11:$J$400,4,FALSE),"")</f>
        <v>250000.02000000002</v>
      </c>
      <c r="G50" s="148">
        <f ca="1">IFERROR(VLOOKUP($A50,Resultat2023!$B$11:$J$400,3,FALSE),"")</f>
        <v>435524.45</v>
      </c>
      <c r="H50" s="148">
        <f ca="1">IFERROR(VLOOKUP($A50,Resultat2023!$B$11:$J$400,4,FALSE),"")</f>
        <v>277000.01</v>
      </c>
      <c r="I50" s="148">
        <f ca="1">IFERROR(VLOOKUP($A50,Budsjett2024!$B$11:$J$400,3,FALSE),"")</f>
        <v>388444.6</v>
      </c>
    </row>
    <row r="51" spans="1:9" hidden="1" outlineLevel="2">
      <c r="A51" s="28">
        <v>5000</v>
      </c>
      <c r="B51" s="132" t="s">
        <v>84</v>
      </c>
      <c r="C51" s="146">
        <f ca="1">IFERROR(VLOOKUP($A51,Resultat2021!$B$11:$J$400,3,FALSE),"")</f>
        <v>8627235.7799999993</v>
      </c>
      <c r="D51" s="146">
        <f ca="1">IFERROR(VLOOKUP($A51,Resultat2021!$B$11:$J$400,4,FALSE),"")</f>
        <v>10668104.266789</v>
      </c>
      <c r="E51" s="146">
        <f ca="1">IFERROR(VLOOKUP($A51,Resultat2022!$B$11:$J$400,3,FALSE),"")</f>
        <v>9071820.3599999994</v>
      </c>
      <c r="F51" s="146">
        <f ca="1">IFERROR(VLOOKUP($A51,Resultat2022!$B$11:$J$400,4,FALSE),"")</f>
        <v>10902343.528844999</v>
      </c>
      <c r="G51" s="146">
        <f ca="1">IFERROR(VLOOKUP($A51,Resultat2023!$B$11:$J$400,3,FALSE),"")</f>
        <v>9938101.8499999996</v>
      </c>
      <c r="H51" s="146">
        <f ca="1">IFERROR(VLOOKUP($A51,Resultat2023!$B$11:$J$400,4,FALSE),"")</f>
        <v>12685927.863045</v>
      </c>
      <c r="I51" s="146">
        <f ca="1">IFERROR(VLOOKUP($A51,Budsjett2024!$B$11:$J$400,3,FALSE),"")</f>
        <v>12874963.644293999</v>
      </c>
    </row>
    <row r="52" spans="1:9" hidden="1" outlineLevel="2">
      <c r="A52" s="28">
        <v>5001</v>
      </c>
      <c r="B52" s="132" t="s">
        <v>85</v>
      </c>
      <c r="C52" s="146">
        <f ca="1">IFERROR(VLOOKUP($A52,Resultat2021!$B$11:$J$400,3,FALSE),"")</f>
        <v>104238</v>
      </c>
      <c r="D52" s="146">
        <f ca="1">IFERROR(VLOOKUP($A52,Resultat2021!$B$11:$J$400,4,FALSE),"")</f>
        <v>0</v>
      </c>
      <c r="E52" s="146">
        <f ca="1">IFERROR(VLOOKUP($A52,Resultat2022!$B$11:$J$400,3,FALSE),"")</f>
        <v>108190.75</v>
      </c>
      <c r="F52" s="146">
        <f ca="1">IFERROR(VLOOKUP($A52,Resultat2022!$B$11:$J$400,4,FALSE),"")</f>
        <v>0</v>
      </c>
      <c r="G52" s="146">
        <f ca="1">IFERROR(VLOOKUP($A52,Resultat2023!$B$11:$J$400,3,FALSE),"")</f>
        <v>43560</v>
      </c>
      <c r="H52" s="146">
        <f ca="1">IFERROR(VLOOKUP($A52,Resultat2023!$B$11:$J$400,4,FALSE),"")</f>
        <v>0</v>
      </c>
      <c r="I52" s="146">
        <f ca="1">IFERROR(VLOOKUP($A52,Budsjett2024!$B$11:$J$400,3,FALSE),"")</f>
        <v>0</v>
      </c>
    </row>
    <row r="53" spans="1:9" hidden="1" outlineLevel="2">
      <c r="A53" s="28">
        <v>5002</v>
      </c>
      <c r="B53" s="132" t="s">
        <v>86</v>
      </c>
      <c r="C53" s="146">
        <f ca="1">IFERROR(VLOOKUP($A53,Resultat2021!$B$11:$J$400,3,FALSE),"")</f>
        <v>2053305.05</v>
      </c>
      <c r="D53" s="146">
        <f ca="1">IFERROR(VLOOKUP($A53,Resultat2021!$B$11:$J$400,4,FALSE),"")</f>
        <v>2107583.9239659999</v>
      </c>
      <c r="E53" s="146">
        <f ca="1">IFERROR(VLOOKUP($A53,Resultat2022!$B$11:$J$400,3,FALSE),"")</f>
        <v>2464402</v>
      </c>
      <c r="F53" s="146">
        <f ca="1">IFERROR(VLOOKUP($A53,Resultat2022!$B$11:$J$400,4,FALSE),"")</f>
        <v>1831308.9951919999</v>
      </c>
      <c r="G53" s="146">
        <f ca="1">IFERROR(VLOOKUP($A53,Resultat2023!$B$11:$J$400,3,FALSE),"")</f>
        <v>3111652.59</v>
      </c>
      <c r="H53" s="146">
        <f ca="1">IFERROR(VLOOKUP($A53,Resultat2023!$B$11:$J$400,4,FALSE),"")</f>
        <v>2731149.2163459999</v>
      </c>
      <c r="I53" s="146">
        <f ca="1">IFERROR(VLOOKUP($A53,Budsjett2024!$B$11:$J$400,3,FALSE),"")</f>
        <v>3836889.3445669999</v>
      </c>
    </row>
    <row r="54" spans="1:9" hidden="1" outlineLevel="2">
      <c r="A54" s="28">
        <v>5005</v>
      </c>
      <c r="B54" s="132" t="s">
        <v>87</v>
      </c>
      <c r="C54" s="146" t="str">
        <f ca="1">IFERROR(VLOOKUP($A54,Resultat2021!$B$11:$J$400,3,FALSE),"")</f>
        <v/>
      </c>
      <c r="D54" s="146" t="str">
        <f ca="1">IFERROR(VLOOKUP($A54,Resultat2021!$B$11:$J$400,4,FALSE),"")</f>
        <v/>
      </c>
      <c r="E54" s="146">
        <f ca="1">IFERROR(VLOOKUP($A54,Resultat2022!$B$11:$J$400,3,FALSE),"")</f>
        <v>0</v>
      </c>
      <c r="F54" s="146">
        <f ca="1">IFERROR(VLOOKUP($A54,Resultat2022!$B$11:$J$400,4,FALSE),"")</f>
        <v>137</v>
      </c>
      <c r="G54" s="146">
        <f ca="1">IFERROR(VLOOKUP($A54,Resultat2023!$B$11:$J$400,3,FALSE),"")</f>
        <v>0</v>
      </c>
      <c r="H54" s="146">
        <f ca="1">IFERROR(VLOOKUP($A54,Resultat2023!$B$11:$J$400,4,FALSE),"")</f>
        <v>0</v>
      </c>
      <c r="I54" s="146">
        <f ca="1">IFERROR(VLOOKUP($A54,Budsjett2024!$B$11:$J$400,3,FALSE),"")</f>
        <v>0</v>
      </c>
    </row>
    <row r="55" spans="1:9" hidden="1" outlineLevel="2">
      <c r="A55" s="28">
        <v>5006</v>
      </c>
      <c r="B55" s="132" t="s">
        <v>88</v>
      </c>
      <c r="C55" s="146">
        <f ca="1">IFERROR(VLOOKUP($A55,Resultat2021!$B$11:$J$400,3,FALSE),"")</f>
        <v>0</v>
      </c>
      <c r="D55" s="146">
        <f ca="1">IFERROR(VLOOKUP($A55,Resultat2021!$B$11:$J$400,4,FALSE),"")</f>
        <v>0</v>
      </c>
      <c r="E55" s="146">
        <f ca="1">IFERROR(VLOOKUP($A55,Resultat2022!$B$11:$J$400,3,FALSE),"")</f>
        <v>0</v>
      </c>
      <c r="F55" s="146">
        <f ca="1">IFERROR(VLOOKUP($A55,Resultat2022!$B$11:$J$400,4,FALSE),"")</f>
        <v>0</v>
      </c>
      <c r="G55" s="146" t="str">
        <f ca="1">IFERROR(VLOOKUP($A55,Resultat2023!$B$11:$J$400,3,FALSE),"")</f>
        <v/>
      </c>
      <c r="H55" s="146" t="str">
        <f ca="1">IFERROR(VLOOKUP($A55,Resultat2023!$B$11:$J$400,4,FALSE),"")</f>
        <v/>
      </c>
      <c r="I55" s="146" t="str">
        <f ca="1">IFERROR(VLOOKUP($A55,Budsjett2024!$B$11:$J$400,3,FALSE),"")</f>
        <v/>
      </c>
    </row>
    <row r="56" spans="1:9" hidden="1" outlineLevel="2">
      <c r="A56" s="28">
        <v>5007</v>
      </c>
      <c r="B56" s="132" t="s">
        <v>89</v>
      </c>
      <c r="C56" s="146">
        <f ca="1">IFERROR(VLOOKUP($A56,Resultat2021!$B$11:$J$400,3,FALSE),"")</f>
        <v>108191.5</v>
      </c>
      <c r="D56" s="146">
        <f ca="1">IFERROR(VLOOKUP($A56,Resultat2021!$B$11:$J$400,4,FALSE),"")</f>
        <v>93125.5</v>
      </c>
      <c r="E56" s="146">
        <f ca="1">IFERROR(VLOOKUP($A56,Resultat2022!$B$11:$J$400,3,FALSE),"")</f>
        <v>80240</v>
      </c>
      <c r="F56" s="146">
        <f ca="1">IFERROR(VLOOKUP($A56,Resultat2022!$B$11:$J$400,4,FALSE),"")</f>
        <v>0</v>
      </c>
      <c r="G56" s="146">
        <f ca="1">IFERROR(VLOOKUP($A56,Resultat2023!$B$11:$J$400,3,FALSE),"")</f>
        <v>14520.66</v>
      </c>
      <c r="H56" s="146">
        <f ca="1">IFERROR(VLOOKUP($A56,Resultat2023!$B$11:$J$400,4,FALSE),"")</f>
        <v>-12516</v>
      </c>
      <c r="I56" s="146">
        <f ca="1">IFERROR(VLOOKUP($A56,Budsjett2024!$B$11:$J$400,3,FALSE),"")</f>
        <v>0</v>
      </c>
    </row>
    <row r="57" spans="1:9" hidden="1" outlineLevel="2">
      <c r="A57" s="28">
        <v>5008</v>
      </c>
      <c r="B57" s="132" t="s">
        <v>90</v>
      </c>
      <c r="C57" s="146">
        <f ca="1">IFERROR(VLOOKUP($A57,Resultat2021!$B$11:$J$400,3,FALSE),"")</f>
        <v>0</v>
      </c>
      <c r="D57" s="146">
        <f ca="1">IFERROR(VLOOKUP($A57,Resultat2021!$B$11:$J$400,4,FALSE),"")</f>
        <v>0</v>
      </c>
      <c r="E57" s="146" t="str">
        <f ca="1">IFERROR(VLOOKUP($A57,Resultat2022!$B$11:$J$400,3,FALSE),"")</f>
        <v/>
      </c>
      <c r="F57" s="146" t="str">
        <f ca="1">IFERROR(VLOOKUP($A57,Resultat2022!$B$11:$J$400,4,FALSE),"")</f>
        <v/>
      </c>
      <c r="G57" s="146" t="str">
        <f ca="1">IFERROR(VLOOKUP($A57,Resultat2023!$B$11:$J$400,3,FALSE),"")</f>
        <v/>
      </c>
      <c r="H57" s="146" t="str">
        <f ca="1">IFERROR(VLOOKUP($A57,Resultat2023!$B$11:$J$400,4,FALSE),"")</f>
        <v/>
      </c>
      <c r="I57" s="146" t="str">
        <f ca="1">IFERROR(VLOOKUP($A57,Budsjett2024!$B$11:$J$400,3,FALSE),"")</f>
        <v/>
      </c>
    </row>
    <row r="58" spans="1:9" hidden="1" outlineLevel="2">
      <c r="A58" s="28">
        <v>5009</v>
      </c>
      <c r="B58" s="132" t="s">
        <v>91</v>
      </c>
      <c r="C58" s="146">
        <f ca="1">IFERROR(VLOOKUP($A58,Resultat2021!$B$11:$J$400,3,FALSE),"")</f>
        <v>574820.71</v>
      </c>
      <c r="D58" s="146">
        <f ca="1">IFERROR(VLOOKUP($A58,Resultat2021!$B$11:$J$400,4,FALSE),"")</f>
        <v>0</v>
      </c>
      <c r="E58" s="146">
        <f ca="1">IFERROR(VLOOKUP($A58,Resultat2022!$B$11:$J$400,3,FALSE),"")</f>
        <v>122600</v>
      </c>
      <c r="F58" s="146">
        <f ca="1">IFERROR(VLOOKUP($A58,Resultat2022!$B$11:$J$400,4,FALSE),"")</f>
        <v>0</v>
      </c>
      <c r="G58" s="146">
        <f ca="1">IFERROR(VLOOKUP($A58,Resultat2023!$B$11:$J$400,3,FALSE),"")</f>
        <v>0</v>
      </c>
      <c r="H58" s="146">
        <f ca="1">IFERROR(VLOOKUP($A58,Resultat2023!$B$11:$J$400,4,FALSE),"")</f>
        <v>0</v>
      </c>
      <c r="I58" s="146" t="str">
        <f ca="1">IFERROR(VLOOKUP($A58,Budsjett2024!$B$11:$J$400,3,FALSE),"")</f>
        <v/>
      </c>
    </row>
    <row r="59" spans="1:9" hidden="1" outlineLevel="2">
      <c r="A59" s="28">
        <v>5010</v>
      </c>
      <c r="B59" s="132" t="s">
        <v>92</v>
      </c>
      <c r="C59" s="146">
        <f ca="1">IFERROR(VLOOKUP($A59,Resultat2021!$B$11:$J$400,3,FALSE),"")</f>
        <v>1480407.61</v>
      </c>
      <c r="D59" s="146">
        <f ca="1">IFERROR(VLOOKUP($A59,Resultat2021!$B$11:$J$400,4,FALSE),"")</f>
        <v>1533082.617692</v>
      </c>
      <c r="E59" s="146">
        <f ca="1">IFERROR(VLOOKUP($A59,Resultat2022!$B$11:$J$400,3,FALSE),"")</f>
        <v>1531482</v>
      </c>
      <c r="F59" s="146">
        <f ca="1">IFERROR(VLOOKUP($A59,Resultat2022!$B$11:$J$400,4,FALSE),"")</f>
        <v>1575274.9130889999</v>
      </c>
      <c r="G59" s="146">
        <f ca="1">IFERROR(VLOOKUP($A59,Resultat2023!$B$11:$J$400,3,FALSE),"")</f>
        <v>1675901.2</v>
      </c>
      <c r="H59" s="146">
        <f ca="1">IFERROR(VLOOKUP($A59,Resultat2023!$B$11:$J$400,4,FALSE),"")</f>
        <v>1900598.1678520001</v>
      </c>
      <c r="I59" s="146">
        <f ca="1">IFERROR(VLOOKUP($A59,Budsjett2024!$B$11:$J$400,3,FALSE),"")</f>
        <v>2046866.399888</v>
      </c>
    </row>
    <row r="60" spans="1:9" hidden="1" outlineLevel="2">
      <c r="A60" s="28">
        <v>5021</v>
      </c>
      <c r="B60" s="132" t="s">
        <v>93</v>
      </c>
      <c r="C60" s="146">
        <f ca="1">IFERROR(VLOOKUP($A60,Resultat2021!$B$11:$J$400,3,FALSE),"")</f>
        <v>165864.85999999999</v>
      </c>
      <c r="D60" s="146">
        <f ca="1">IFERROR(VLOOKUP($A60,Resultat2021!$B$11:$J$400,4,FALSE),"")</f>
        <v>180000</v>
      </c>
      <c r="E60" s="146">
        <f ca="1">IFERROR(VLOOKUP($A60,Resultat2022!$B$11:$J$400,3,FALSE),"")</f>
        <v>117144</v>
      </c>
      <c r="F60" s="146">
        <f ca="1">IFERROR(VLOOKUP($A60,Resultat2022!$B$11:$J$400,4,FALSE),"")</f>
        <v>207000</v>
      </c>
      <c r="G60" s="146">
        <f ca="1">IFERROR(VLOOKUP($A60,Resultat2023!$B$11:$J$400,3,FALSE),"")</f>
        <v>97154.81</v>
      </c>
      <c r="H60" s="146">
        <f ca="1">IFERROR(VLOOKUP($A60,Resultat2023!$B$11:$J$400,4,FALSE),"")</f>
        <v>200000</v>
      </c>
      <c r="I60" s="146">
        <f ca="1">IFERROR(VLOOKUP($A60,Budsjett2024!$B$11:$J$400,3,FALSE),"")</f>
        <v>84000</v>
      </c>
    </row>
    <row r="61" spans="1:9" hidden="1" outlineLevel="2">
      <c r="A61" s="28">
        <v>5110</v>
      </c>
      <c r="B61" s="132" t="s">
        <v>94</v>
      </c>
      <c r="C61" s="146">
        <f ca="1">IFERROR(VLOOKUP($A61,Resultat2021!$B$11:$J$400,3,FALSE),"")</f>
        <v>0</v>
      </c>
      <c r="D61" s="146">
        <f ca="1">IFERROR(VLOOKUP($A61,Resultat2021!$B$11:$J$400,4,FALSE),"")</f>
        <v>0</v>
      </c>
      <c r="E61" s="146">
        <f ca="1">IFERROR(VLOOKUP($A61,Resultat2022!$B$11:$J$400,3,FALSE),"")</f>
        <v>0</v>
      </c>
      <c r="F61" s="146">
        <f ca="1">IFERROR(VLOOKUP($A61,Resultat2022!$B$11:$J$400,4,FALSE),"")</f>
        <v>0</v>
      </c>
      <c r="G61" s="146">
        <f ca="1">IFERROR(VLOOKUP($A61,Resultat2023!$B$11:$J$400,3,FALSE),"")</f>
        <v>2300</v>
      </c>
      <c r="H61" s="146">
        <f ca="1">IFERROR(VLOOKUP($A61,Resultat2023!$B$11:$J$400,4,FALSE),"")</f>
        <v>0</v>
      </c>
      <c r="I61" s="146" t="str">
        <f ca="1">IFERROR(VLOOKUP($A61,Budsjett2024!$B$11:$J$400,3,FALSE),"")</f>
        <v/>
      </c>
    </row>
    <row r="62" spans="1:9" hidden="1" outlineLevel="2">
      <c r="A62" s="28">
        <v>5111</v>
      </c>
      <c r="B62" s="132" t="s">
        <v>95</v>
      </c>
      <c r="C62" s="146">
        <f ca="1">IFERROR(VLOOKUP($A62,Resultat2021!$B$11:$J$400,3,FALSE),"")</f>
        <v>37070</v>
      </c>
      <c r="D62" s="146">
        <f ca="1">IFERROR(VLOOKUP($A62,Resultat2021!$B$11:$J$400,4,FALSE),"")</f>
        <v>0</v>
      </c>
      <c r="E62" s="146">
        <f ca="1">IFERROR(VLOOKUP($A62,Resultat2022!$B$11:$J$400,3,FALSE),"")</f>
        <v>34342</v>
      </c>
      <c r="F62" s="146">
        <f ca="1">IFERROR(VLOOKUP($A62,Resultat2022!$B$11:$J$400,4,FALSE),"")</f>
        <v>0</v>
      </c>
      <c r="G62" s="146">
        <f ca="1">IFERROR(VLOOKUP($A62,Resultat2023!$B$11:$J$400,3,FALSE),"")</f>
        <v>149465.4</v>
      </c>
      <c r="H62" s="146">
        <f ca="1">IFERROR(VLOOKUP($A62,Resultat2023!$B$11:$J$400,4,FALSE),"")</f>
        <v>0</v>
      </c>
      <c r="I62" s="146">
        <f ca="1">IFERROR(VLOOKUP($A62,Budsjett2024!$B$11:$J$400,3,FALSE),"")</f>
        <v>0</v>
      </c>
    </row>
    <row r="63" spans="1:9" hidden="1" outlineLevel="2">
      <c r="A63" s="28">
        <v>5112</v>
      </c>
      <c r="B63" s="132" t="s">
        <v>96</v>
      </c>
      <c r="C63" s="146">
        <f ca="1">IFERROR(VLOOKUP($A63,Resultat2021!$B$11:$J$400,3,FALSE),"")</f>
        <v>0</v>
      </c>
      <c r="D63" s="146">
        <f ca="1">IFERROR(VLOOKUP($A63,Resultat2021!$B$11:$J$400,4,FALSE),"")</f>
        <v>0</v>
      </c>
      <c r="E63" s="146" t="str">
        <f ca="1">IFERROR(VLOOKUP($A63,Resultat2022!$B$11:$J$400,3,FALSE),"")</f>
        <v/>
      </c>
      <c r="F63" s="146" t="str">
        <f ca="1">IFERROR(VLOOKUP($A63,Resultat2022!$B$11:$J$400,4,FALSE),"")</f>
        <v/>
      </c>
      <c r="G63" s="146" t="str">
        <f ca="1">IFERROR(VLOOKUP($A63,Resultat2023!$B$11:$J$400,3,FALSE),"")</f>
        <v/>
      </c>
      <c r="H63" s="146" t="str">
        <f ca="1">IFERROR(VLOOKUP($A63,Resultat2023!$B$11:$J$400,4,FALSE),"")</f>
        <v/>
      </c>
      <c r="I63" s="146" t="str">
        <f ca="1">IFERROR(VLOOKUP($A63,Budsjett2024!$B$11:$J$400,3,FALSE),"")</f>
        <v/>
      </c>
    </row>
    <row r="64" spans="1:9" hidden="1" outlineLevel="2">
      <c r="A64" s="28">
        <v>5113</v>
      </c>
      <c r="B64" s="132" t="s">
        <v>97</v>
      </c>
      <c r="C64" s="146">
        <f ca="1">IFERROR(VLOOKUP($A64,Resultat2021!$B$11:$J$400,3,FALSE),"")</f>
        <v>0</v>
      </c>
      <c r="D64" s="146">
        <f ca="1">IFERROR(VLOOKUP($A64,Resultat2021!$B$11:$J$400,4,FALSE),"")</f>
        <v>0</v>
      </c>
      <c r="E64" s="146">
        <f ca="1">IFERROR(VLOOKUP($A64,Resultat2022!$B$11:$J$400,3,FALSE),"")</f>
        <v>0</v>
      </c>
      <c r="F64" s="146">
        <f ca="1">IFERROR(VLOOKUP($A64,Resultat2022!$B$11:$J$400,4,FALSE),"")</f>
        <v>0</v>
      </c>
      <c r="G64" s="146">
        <f ca="1">IFERROR(VLOOKUP($A64,Resultat2023!$B$11:$J$400,3,FALSE),"")</f>
        <v>0</v>
      </c>
      <c r="H64" s="146">
        <f ca="1">IFERROR(VLOOKUP($A64,Resultat2023!$B$11:$J$400,4,FALSE),"")</f>
        <v>0</v>
      </c>
      <c r="I64" s="146">
        <f ca="1">IFERROR(VLOOKUP($A64,Budsjett2024!$B$11:$J$400,3,FALSE),"")</f>
        <v>0</v>
      </c>
    </row>
    <row r="65" spans="1:9" hidden="1" outlineLevel="2">
      <c r="A65" s="28">
        <v>5114</v>
      </c>
      <c r="B65" s="132" t="s">
        <v>98</v>
      </c>
      <c r="C65" s="146">
        <f ca="1">IFERROR(VLOOKUP($A65,Resultat2021!$B$11:$J$400,3,FALSE),"")</f>
        <v>33065</v>
      </c>
      <c r="D65" s="146">
        <f ca="1">IFERROR(VLOOKUP($A65,Resultat2021!$B$11:$J$400,4,FALSE),"")</f>
        <v>0</v>
      </c>
      <c r="E65" s="146">
        <f ca="1">IFERROR(VLOOKUP($A65,Resultat2022!$B$11:$J$400,3,FALSE),"")</f>
        <v>0</v>
      </c>
      <c r="F65" s="146">
        <f ca="1">IFERROR(VLOOKUP($A65,Resultat2022!$B$11:$J$400,4,FALSE),"")</f>
        <v>0</v>
      </c>
      <c r="G65" s="146" t="str">
        <f ca="1">IFERROR(VLOOKUP($A65,Resultat2023!$B$11:$J$400,3,FALSE),"")</f>
        <v/>
      </c>
      <c r="H65" s="146" t="str">
        <f ca="1">IFERROR(VLOOKUP($A65,Resultat2023!$B$11:$J$400,4,FALSE),"")</f>
        <v/>
      </c>
      <c r="I65" s="146" t="str">
        <f ca="1">IFERROR(VLOOKUP($A65,Budsjett2024!$B$11:$J$400,3,FALSE),"")</f>
        <v/>
      </c>
    </row>
    <row r="66" spans="1:9" hidden="1" outlineLevel="2">
      <c r="A66" s="28">
        <v>5190</v>
      </c>
      <c r="B66" s="132" t="s">
        <v>99</v>
      </c>
      <c r="C66" s="146">
        <f ca="1">IFERROR(VLOOKUP($A66,Resultat2021!$B$11:$J$400,3,FALSE),"")</f>
        <v>726574</v>
      </c>
      <c r="D66" s="146">
        <f ca="1">IFERROR(VLOOKUP($A66,Resultat2021!$B$11:$J$400,4,FALSE),"")</f>
        <v>0</v>
      </c>
      <c r="E66" s="146">
        <f ca="1">IFERROR(VLOOKUP($A66,Resultat2022!$B$11:$J$400,3,FALSE),"")</f>
        <v>534111</v>
      </c>
      <c r="F66" s="146">
        <f ca="1">IFERROR(VLOOKUP($A66,Resultat2022!$B$11:$J$400,4,FALSE),"")</f>
        <v>0</v>
      </c>
      <c r="G66" s="146">
        <f ca="1">IFERROR(VLOOKUP($A66,Resultat2023!$B$11:$J$400,3,FALSE),"")</f>
        <v>380479</v>
      </c>
      <c r="H66" s="146">
        <f ca="1">IFERROR(VLOOKUP($A66,Resultat2023!$B$11:$J$400,4,FALSE),"")</f>
        <v>0</v>
      </c>
      <c r="I66" s="146">
        <f ca="1">IFERROR(VLOOKUP($A66,Budsjett2024!$B$11:$J$400,3,FALSE),"")</f>
        <v>0</v>
      </c>
    </row>
    <row r="67" spans="1:9" hidden="1" outlineLevel="1">
      <c r="A67" s="35" t="str">
        <f>"    "&amp;"Lønn til ansatte"</f>
        <v xml:space="preserve">    Lønn til ansatte</v>
      </c>
      <c r="B67" s="35"/>
      <c r="C67" s="147">
        <f ca="1">IFERROR(VLOOKUP($A67,Resultat2021!$B$11:$J$400,3,FALSE),"")</f>
        <v>13910772.509999998</v>
      </c>
      <c r="D67" s="147">
        <f ca="1">IFERROR(VLOOKUP($A67,Resultat2021!$B$11:$J$400,4,FALSE),"")</f>
        <v>14581896.308447</v>
      </c>
      <c r="E67" s="147">
        <f ca="1">IFERROR(VLOOKUP($A67,Resultat2022!$B$11:$J$400,3,FALSE),"")</f>
        <v>14064332.109999999</v>
      </c>
      <c r="F67" s="147">
        <f ca="1">IFERROR(VLOOKUP($A67,Resultat2022!$B$11:$J$400,4,FALSE),"")</f>
        <v>14516064.437125999</v>
      </c>
      <c r="G67" s="147">
        <f ca="1">IFERROR(VLOOKUP($A67,Resultat2023!$B$11:$J$400,3,FALSE),"")</f>
        <v>15413135.51</v>
      </c>
      <c r="H67" s="147">
        <f ca="1">IFERROR(VLOOKUP($A67,Resultat2023!$B$11:$J$400,4,FALSE),"")</f>
        <v>17505159.247242998</v>
      </c>
      <c r="I67" s="147">
        <f ca="1">IFERROR(VLOOKUP($A67,Budsjett2024!$B$11:$J$400,3,FALSE),"")</f>
        <v>18842719.388749</v>
      </c>
    </row>
    <row r="68" spans="1:9" hidden="1" outlineLevel="2">
      <c r="A68" s="28">
        <v>5210</v>
      </c>
      <c r="B68" s="132" t="s">
        <v>100</v>
      </c>
      <c r="C68" s="146">
        <f ca="1">IFERROR(VLOOKUP($A68,Resultat2021!$B$11:$J$400,3,FALSE),"")</f>
        <v>36671.42</v>
      </c>
      <c r="D68" s="146">
        <f ca="1">IFERROR(VLOOKUP($A68,Resultat2021!$B$11:$J$400,4,FALSE),"")</f>
        <v>39530.000004000001</v>
      </c>
      <c r="E68" s="146">
        <f ca="1">IFERROR(VLOOKUP($A68,Resultat2022!$B$11:$J$400,3,FALSE),"")</f>
        <v>49107</v>
      </c>
      <c r="F68" s="146">
        <f ca="1">IFERROR(VLOOKUP($A68,Resultat2022!$B$11:$J$400,4,FALSE),"")</f>
        <v>39528</v>
      </c>
      <c r="G68" s="146">
        <f ca="1">IFERROR(VLOOKUP($A68,Resultat2023!$B$11:$J$400,3,FALSE),"")</f>
        <v>51606</v>
      </c>
      <c r="H68" s="146">
        <f ca="1">IFERROR(VLOOKUP($A68,Resultat2023!$B$11:$J$400,4,FALSE),"")</f>
        <v>61488</v>
      </c>
      <c r="I68" s="146">
        <f ca="1">IFERROR(VLOOKUP($A68,Budsjett2024!$B$11:$J$400,3,FALSE),"")</f>
        <v>0</v>
      </c>
    </row>
    <row r="69" spans="1:9" hidden="1" outlineLevel="2">
      <c r="A69" s="28">
        <v>5220</v>
      </c>
      <c r="B69" s="132" t="s">
        <v>101</v>
      </c>
      <c r="C69" s="146">
        <f ca="1">IFERROR(VLOOKUP($A69,Resultat2021!$B$11:$J$400,3,FALSE),"")</f>
        <v>0</v>
      </c>
      <c r="D69" s="146">
        <f ca="1">IFERROR(VLOOKUP($A69,Resultat2021!$B$11:$J$400,4,FALSE),"")</f>
        <v>0</v>
      </c>
      <c r="E69" s="146">
        <f ca="1">IFERROR(VLOOKUP($A69,Resultat2022!$B$11:$J$400,3,FALSE),"")</f>
        <v>0</v>
      </c>
      <c r="F69" s="146">
        <f ca="1">IFERROR(VLOOKUP($A69,Resultat2022!$B$11:$J$400,4,FALSE),"")</f>
        <v>0</v>
      </c>
      <c r="G69" s="146" t="str">
        <f ca="1">IFERROR(VLOOKUP($A69,Resultat2023!$B$11:$J$400,3,FALSE),"")</f>
        <v/>
      </c>
      <c r="H69" s="146" t="str">
        <f ca="1">IFERROR(VLOOKUP($A69,Resultat2023!$B$11:$J$400,4,FALSE),"")</f>
        <v/>
      </c>
      <c r="I69" s="146" t="str">
        <f ca="1">IFERROR(VLOOKUP($A69,Budsjett2024!$B$11:$J$400,3,FALSE),"")</f>
        <v/>
      </c>
    </row>
    <row r="70" spans="1:9" hidden="1" outlineLevel="2">
      <c r="A70" s="28">
        <v>5250</v>
      </c>
      <c r="B70" s="132" t="s">
        <v>102</v>
      </c>
      <c r="C70" s="146">
        <f ca="1">IFERROR(VLOOKUP($A70,Resultat2021!$B$11:$J$400,3,FALSE),"")</f>
        <v>844.1</v>
      </c>
      <c r="D70" s="146">
        <f ca="1">IFERROR(VLOOKUP($A70,Resultat2021!$B$11:$J$400,4,FALSE),"")</f>
        <v>2374.88</v>
      </c>
      <c r="E70" s="146">
        <f ca="1">IFERROR(VLOOKUP($A70,Resultat2022!$B$11:$J$400,3,FALSE),"")</f>
        <v>0</v>
      </c>
      <c r="F70" s="146">
        <f ca="1">IFERROR(VLOOKUP($A70,Resultat2022!$B$11:$J$400,4,FALSE),"")</f>
        <v>2565</v>
      </c>
      <c r="G70" s="146">
        <f ca="1">IFERROR(VLOOKUP($A70,Resultat2023!$B$11:$J$400,3,FALSE),"")</f>
        <v>0</v>
      </c>
      <c r="H70" s="146">
        <f ca="1">IFERROR(VLOOKUP($A70,Resultat2023!$B$11:$J$400,4,FALSE),"")</f>
        <v>0</v>
      </c>
      <c r="I70" s="146" t="str">
        <f ca="1">IFERROR(VLOOKUP($A70,Budsjett2024!$B$11:$J$400,3,FALSE),"")</f>
        <v/>
      </c>
    </row>
    <row r="71" spans="1:9" hidden="1" outlineLevel="2">
      <c r="A71" s="28">
        <v>5251</v>
      </c>
      <c r="B71" s="132" t="s">
        <v>103</v>
      </c>
      <c r="C71" s="146">
        <f ca="1">IFERROR(VLOOKUP($A71,Resultat2021!$B$11:$J$400,3,FALSE),"")</f>
        <v>11201.18</v>
      </c>
      <c r="D71" s="146">
        <f ca="1">IFERROR(VLOOKUP($A71,Resultat2021!$B$11:$J$400,4,FALSE),"")</f>
        <v>48139.59</v>
      </c>
      <c r="E71" s="146">
        <f ca="1">IFERROR(VLOOKUP($A71,Resultat2022!$B$11:$J$400,3,FALSE),"")</f>
        <v>0</v>
      </c>
      <c r="F71" s="146">
        <f ca="1">IFERROR(VLOOKUP($A71,Resultat2022!$B$11:$J$400,4,FALSE),"")</f>
        <v>48672</v>
      </c>
      <c r="G71" s="146">
        <f ca="1">IFERROR(VLOOKUP($A71,Resultat2023!$B$11:$J$400,3,FALSE),"")</f>
        <v>0</v>
      </c>
      <c r="H71" s="146">
        <f ca="1">IFERROR(VLOOKUP($A71,Resultat2023!$B$11:$J$400,4,FALSE),"")</f>
        <v>199974.84</v>
      </c>
      <c r="I71" s="146" t="str">
        <f ca="1">IFERROR(VLOOKUP($A71,Budsjett2024!$B$11:$J$400,3,FALSE),"")</f>
        <v/>
      </c>
    </row>
    <row r="72" spans="1:9" hidden="1" outlineLevel="2">
      <c r="A72" s="28">
        <v>5252</v>
      </c>
      <c r="B72" s="132" t="s">
        <v>104</v>
      </c>
      <c r="C72" s="146">
        <f ca="1">IFERROR(VLOOKUP($A72,Resultat2021!$B$11:$J$400,3,FALSE),"")</f>
        <v>6029.84</v>
      </c>
      <c r="D72" s="146">
        <f ca="1">IFERROR(VLOOKUP($A72,Resultat2021!$B$11:$J$400,4,FALSE),"")</f>
        <v>16187.27</v>
      </c>
      <c r="E72" s="146">
        <f ca="1">IFERROR(VLOOKUP($A72,Resultat2022!$B$11:$J$400,3,FALSE),"")</f>
        <v>0</v>
      </c>
      <c r="F72" s="146">
        <f ca="1">IFERROR(VLOOKUP($A72,Resultat2022!$B$11:$J$400,4,FALSE),"")</f>
        <v>18088</v>
      </c>
      <c r="G72" s="146">
        <f ca="1">IFERROR(VLOOKUP($A72,Resultat2023!$B$11:$J$400,3,FALSE),"")</f>
        <v>0</v>
      </c>
      <c r="H72" s="146">
        <f ca="1">IFERROR(VLOOKUP($A72,Resultat2023!$B$11:$J$400,4,FALSE),"")</f>
        <v>0</v>
      </c>
      <c r="I72" s="146" t="str">
        <f ca="1">IFERROR(VLOOKUP($A72,Budsjett2024!$B$11:$J$400,3,FALSE),"")</f>
        <v/>
      </c>
    </row>
    <row r="73" spans="1:9" hidden="1" outlineLevel="2">
      <c r="A73" s="28">
        <v>5253</v>
      </c>
      <c r="B73" s="132" t="s">
        <v>105</v>
      </c>
      <c r="C73" s="146">
        <f ca="1">IFERROR(VLOOKUP($A73,Resultat2021!$B$11:$J$400,3,FALSE),"")</f>
        <v>24712.16</v>
      </c>
      <c r="D73" s="146">
        <f ca="1">IFERROR(VLOOKUP($A73,Resultat2021!$B$11:$J$400,4,FALSE),"")</f>
        <v>66341.56</v>
      </c>
      <c r="E73" s="146">
        <f ca="1">IFERROR(VLOOKUP($A73,Resultat2022!$B$11:$J$400,3,FALSE),"")</f>
        <v>0</v>
      </c>
      <c r="F73" s="146">
        <f ca="1">IFERROR(VLOOKUP($A73,Resultat2022!$B$11:$J$400,4,FALSE),"")</f>
        <v>74138</v>
      </c>
      <c r="G73" s="146">
        <f ca="1">IFERROR(VLOOKUP($A73,Resultat2023!$B$11:$J$400,3,FALSE),"")</f>
        <v>0</v>
      </c>
      <c r="H73" s="146">
        <f ca="1">IFERROR(VLOOKUP($A73,Resultat2023!$B$11:$J$400,4,FALSE),"")</f>
        <v>0</v>
      </c>
      <c r="I73" s="146" t="str">
        <f ca="1">IFERROR(VLOOKUP($A73,Budsjett2024!$B$11:$J$400,3,FALSE),"")</f>
        <v/>
      </c>
    </row>
    <row r="74" spans="1:9" hidden="1" outlineLevel="2">
      <c r="A74" s="28">
        <v>5254</v>
      </c>
      <c r="B74" s="132" t="s">
        <v>106</v>
      </c>
      <c r="C74" s="146">
        <f ca="1">IFERROR(VLOOKUP($A74,Resultat2021!$B$11:$J$400,3,FALSE),"")</f>
        <v>6720</v>
      </c>
      <c r="D74" s="146">
        <f ca="1">IFERROR(VLOOKUP($A74,Resultat2021!$B$11:$J$400,4,FALSE),"")</f>
        <v>16704</v>
      </c>
      <c r="E74" s="146">
        <f ca="1">IFERROR(VLOOKUP($A74,Resultat2022!$B$11:$J$400,3,FALSE),"")</f>
        <v>0</v>
      </c>
      <c r="F74" s="146">
        <f ca="1">IFERROR(VLOOKUP($A74,Resultat2022!$B$11:$J$400,4,FALSE),"")</f>
        <v>21888</v>
      </c>
      <c r="G74" s="146">
        <f ca="1">IFERROR(VLOOKUP($A74,Resultat2023!$B$11:$J$400,3,FALSE),"")</f>
        <v>0</v>
      </c>
      <c r="H74" s="146">
        <f ca="1">IFERROR(VLOOKUP($A74,Resultat2023!$B$11:$J$400,4,FALSE),"")</f>
        <v>0</v>
      </c>
      <c r="I74" s="146" t="str">
        <f ca="1">IFERROR(VLOOKUP($A74,Budsjett2024!$B$11:$J$400,3,FALSE),"")</f>
        <v/>
      </c>
    </row>
    <row r="75" spans="1:9" hidden="1" outlineLevel="2">
      <c r="A75" s="28">
        <v>5281</v>
      </c>
      <c r="B75" s="132" t="s">
        <v>107</v>
      </c>
      <c r="C75" s="146" t="str">
        <f ca="1">IFERROR(VLOOKUP($A75,Resultat2021!$B$11:$J$400,3,FALSE),"")</f>
        <v/>
      </c>
      <c r="D75" s="146" t="str">
        <f ca="1">IFERROR(VLOOKUP($A75,Resultat2021!$B$11:$J$400,4,FALSE),"")</f>
        <v/>
      </c>
      <c r="E75" s="146">
        <f ca="1">IFERROR(VLOOKUP($A75,Resultat2022!$B$11:$J$400,3,FALSE),"")</f>
        <v>3275.25</v>
      </c>
      <c r="F75" s="146">
        <f ca="1">IFERROR(VLOOKUP($A75,Resultat2022!$B$11:$J$400,4,FALSE),"")</f>
        <v>0</v>
      </c>
      <c r="G75" s="146">
        <f ca="1">IFERROR(VLOOKUP($A75,Resultat2023!$B$11:$J$400,3,FALSE),"")</f>
        <v>7976</v>
      </c>
      <c r="H75" s="146">
        <f ca="1">IFERROR(VLOOKUP($A75,Resultat2023!$B$11:$J$400,4,FALSE),"")</f>
        <v>0</v>
      </c>
      <c r="I75" s="146">
        <f ca="1">IFERROR(VLOOKUP($A75,Budsjett2024!$B$11:$J$400,3,FALSE),"")</f>
        <v>0</v>
      </c>
    </row>
    <row r="76" spans="1:9" hidden="1" outlineLevel="2">
      <c r="A76" s="28">
        <v>5285</v>
      </c>
      <c r="B76" s="132" t="s">
        <v>108</v>
      </c>
      <c r="C76" s="146" t="str">
        <f ca="1">IFERROR(VLOOKUP($A76,Resultat2021!$B$11:$J$400,3,FALSE),"")</f>
        <v/>
      </c>
      <c r="D76" s="146" t="str">
        <f ca="1">IFERROR(VLOOKUP($A76,Resultat2021!$B$11:$J$400,4,FALSE),"")</f>
        <v/>
      </c>
      <c r="E76" s="146" t="str">
        <f ca="1">IFERROR(VLOOKUP($A76,Resultat2022!$B$11:$J$400,3,FALSE),"")</f>
        <v/>
      </c>
      <c r="F76" s="146" t="str">
        <f ca="1">IFERROR(VLOOKUP($A76,Resultat2022!$B$11:$J$400,4,FALSE),"")</f>
        <v/>
      </c>
      <c r="G76" s="146">
        <f ca="1">IFERROR(VLOOKUP($A76,Resultat2023!$B$11:$J$400,3,FALSE),"")</f>
        <v>77913</v>
      </c>
      <c r="H76" s="146">
        <f ca="1">IFERROR(VLOOKUP($A76,Resultat2023!$B$11:$J$400,4,FALSE),"")</f>
        <v>0</v>
      </c>
      <c r="I76" s="146">
        <f ca="1">IFERROR(VLOOKUP($A76,Budsjett2024!$B$11:$J$400,3,FALSE),"")</f>
        <v>0</v>
      </c>
    </row>
    <row r="77" spans="1:9" hidden="1" outlineLevel="2">
      <c r="A77" s="28">
        <v>5286</v>
      </c>
      <c r="B77" s="132" t="s">
        <v>109</v>
      </c>
      <c r="C77" s="146">
        <f ca="1">IFERROR(VLOOKUP($A77,Resultat2021!$B$11:$J$400,3,FALSE),"")</f>
        <v>0</v>
      </c>
      <c r="D77" s="146">
        <f ca="1">IFERROR(VLOOKUP($A77,Resultat2021!$B$11:$J$400,4,FALSE),"")</f>
        <v>0.01</v>
      </c>
      <c r="E77" s="146">
        <f ca="1">IFERROR(VLOOKUP($A77,Resultat2022!$B$11:$J$400,3,FALSE),"")</f>
        <v>0</v>
      </c>
      <c r="F77" s="146">
        <f ca="1">IFERROR(VLOOKUP($A77,Resultat2022!$B$11:$J$400,4,FALSE),"")</f>
        <v>0</v>
      </c>
      <c r="G77" s="146">
        <f ca="1">IFERROR(VLOOKUP($A77,Resultat2023!$B$11:$J$400,3,FALSE),"")</f>
        <v>0</v>
      </c>
      <c r="H77" s="146">
        <f ca="1">IFERROR(VLOOKUP($A77,Resultat2023!$B$11:$J$400,4,FALSE),"")</f>
        <v>0</v>
      </c>
      <c r="I77" s="146" t="str">
        <f ca="1">IFERROR(VLOOKUP($A77,Budsjett2024!$B$11:$J$400,3,FALSE),"")</f>
        <v/>
      </c>
    </row>
    <row r="78" spans="1:9" hidden="1" outlineLevel="2">
      <c r="A78" s="28">
        <v>5290</v>
      </c>
      <c r="B78" s="132" t="s">
        <v>110</v>
      </c>
      <c r="C78" s="146">
        <f ca="1">IFERROR(VLOOKUP($A78,Resultat2021!$B$11:$J$400,3,FALSE),"")</f>
        <v>-292077.17</v>
      </c>
      <c r="D78" s="146">
        <f ca="1">IFERROR(VLOOKUP($A78,Resultat2021!$B$11:$J$400,4,FALSE),"")</f>
        <v>-189277.30000399999</v>
      </c>
      <c r="E78" s="146">
        <f ca="1">IFERROR(VLOOKUP($A78,Resultat2022!$B$11:$J$400,3,FALSE),"")</f>
        <v>-52382.25</v>
      </c>
      <c r="F78" s="146">
        <f ca="1">IFERROR(VLOOKUP($A78,Resultat2022!$B$11:$J$400,4,FALSE),"")</f>
        <v>-204879</v>
      </c>
      <c r="G78" s="146">
        <f ca="1">IFERROR(VLOOKUP($A78,Resultat2023!$B$11:$J$400,3,FALSE),"")</f>
        <v>-573625.19999999995</v>
      </c>
      <c r="H78" s="146">
        <f ca="1">IFERROR(VLOOKUP($A78,Resultat2023!$B$11:$J$400,4,FALSE),"")</f>
        <v>-261462.84</v>
      </c>
      <c r="I78" s="146">
        <f ca="1">IFERROR(VLOOKUP($A78,Budsjett2024!$B$11:$J$400,3,FALSE),"")</f>
        <v>0</v>
      </c>
    </row>
    <row r="79" spans="1:9" hidden="1" outlineLevel="2">
      <c r="A79" s="28">
        <v>5420</v>
      </c>
      <c r="B79" s="132" t="s">
        <v>111</v>
      </c>
      <c r="C79" s="146">
        <f ca="1">IFERROR(VLOOKUP($A79,Resultat2021!$B$11:$J$400,3,FALSE),"")</f>
        <v>631038.68000000005</v>
      </c>
      <c r="D79" s="146">
        <f ca="1">IFERROR(VLOOKUP($A79,Resultat2021!$B$11:$J$400,4,FALSE),"")</f>
        <v>595920</v>
      </c>
      <c r="E79" s="146">
        <f ca="1">IFERROR(VLOOKUP($A79,Resultat2022!$B$11:$J$400,3,FALSE),"")</f>
        <v>849490.04</v>
      </c>
      <c r="F79" s="146">
        <f ca="1">IFERROR(VLOOKUP($A79,Resultat2022!$B$11:$J$400,4,FALSE),"")</f>
        <v>1231994</v>
      </c>
      <c r="G79" s="146">
        <f ca="1">IFERROR(VLOOKUP($A79,Resultat2023!$B$11:$J$400,3,FALSE),"")</f>
        <v>998759.37</v>
      </c>
      <c r="H79" s="146">
        <f ca="1">IFERROR(VLOOKUP($A79,Resultat2023!$B$11:$J$400,4,FALSE),"")</f>
        <v>1198862.5783319999</v>
      </c>
      <c r="I79" s="146">
        <f ca="1">IFERROR(VLOOKUP($A79,Budsjett2024!$B$11:$J$400,3,FALSE),"")</f>
        <v>1267200</v>
      </c>
    </row>
    <row r="80" spans="1:9" hidden="1" outlineLevel="2">
      <c r="A80" s="28">
        <v>5490</v>
      </c>
      <c r="B80" s="132" t="s">
        <v>112</v>
      </c>
      <c r="C80" s="146">
        <f ca="1">IFERROR(VLOOKUP($A80,Resultat2021!$B$11:$J$400,3,FALSE),"")</f>
        <v>-425140.21</v>
      </c>
      <c r="D80" s="146">
        <f ca="1">IFERROR(VLOOKUP($A80,Resultat2021!$B$11:$J$400,4,FALSE),"")</f>
        <v>-595920</v>
      </c>
      <c r="E80" s="146">
        <f ca="1">IFERROR(VLOOKUP($A80,Resultat2022!$B$11:$J$400,3,FALSE),"")</f>
        <v>-849490.04</v>
      </c>
      <c r="F80" s="146">
        <f ca="1">IFERROR(VLOOKUP($A80,Resultat2022!$B$11:$J$400,4,FALSE),"")</f>
        <v>-1231994</v>
      </c>
      <c r="G80" s="146">
        <f ca="1">IFERROR(VLOOKUP($A80,Resultat2023!$B$11:$J$400,3,FALSE),"")</f>
        <v>-484874.17</v>
      </c>
      <c r="H80" s="146">
        <f ca="1">IFERROR(VLOOKUP($A80,Resultat2023!$B$11:$J$400,4,FALSE),"")</f>
        <v>-1198862.5783319999</v>
      </c>
      <c r="I80" s="146">
        <f ca="1">IFERROR(VLOOKUP($A80,Budsjett2024!$B$11:$J$400,3,FALSE),"")</f>
        <v>-1267200</v>
      </c>
    </row>
    <row r="81" spans="1:9" hidden="1" outlineLevel="1">
      <c r="A81" s="35" t="str">
        <f>"    "&amp;"Fordel i arbeidsforhold"</f>
        <v xml:space="preserve">    Fordel i arbeidsforhold</v>
      </c>
      <c r="B81" s="35"/>
      <c r="C81" s="147">
        <f ca="1">IFERROR(VLOOKUP($A81,Resultat2021!$B$11:$J$400,3,FALSE),"")</f>
        <v>0</v>
      </c>
      <c r="D81" s="147">
        <f ca="1">IFERROR(VLOOKUP($A81,Resultat2021!$B$11:$J$400,4,FALSE),"")</f>
        <v>1.0000000009313226E-2</v>
      </c>
      <c r="E81" s="147">
        <f ca="1">IFERROR(VLOOKUP($A81,Resultat2022!$B$11:$J$400,3,FALSE),"")</f>
        <v>0</v>
      </c>
      <c r="F81" s="147">
        <f ca="1">IFERROR(VLOOKUP($A81,Resultat2022!$B$11:$J$400,4,FALSE),"")</f>
        <v>0</v>
      </c>
      <c r="G81" s="147">
        <f ca="1">IFERROR(VLOOKUP($A81,Resultat2023!$B$11:$J$400,3,FALSE),"")</f>
        <v>77755.000000000058</v>
      </c>
      <c r="H81" s="147">
        <f ca="1">IFERROR(VLOOKUP($A81,Resultat2023!$B$11:$J$400,4,FALSE),"")</f>
        <v>0</v>
      </c>
      <c r="I81" s="147">
        <f ca="1">IFERROR(VLOOKUP($A81,Budsjett2024!$B$11:$J$400,3,FALSE),"")</f>
        <v>0</v>
      </c>
    </row>
    <row r="82" spans="1:9" hidden="1" outlineLevel="2">
      <c r="A82" s="28">
        <v>5312</v>
      </c>
      <c r="B82" s="132" t="s">
        <v>113</v>
      </c>
      <c r="C82" s="146">
        <f ca="1">IFERROR(VLOOKUP($A82,Resultat2021!$B$11:$J$400,3,FALSE),"")</f>
        <v>197660.58</v>
      </c>
      <c r="D82" s="146">
        <f ca="1">IFERROR(VLOOKUP($A82,Resultat2021!$B$11:$J$400,4,FALSE),"")</f>
        <v>208793.86</v>
      </c>
      <c r="E82" s="146">
        <f ca="1">IFERROR(VLOOKUP($A82,Resultat2022!$B$11:$J$400,3,FALSE),"")</f>
        <v>132636.95000000001</v>
      </c>
      <c r="F82" s="146">
        <f ca="1">IFERROR(VLOOKUP($A82,Resultat2022!$B$11:$J$400,4,FALSE),"")</f>
        <v>231512</v>
      </c>
      <c r="G82" s="146">
        <f ca="1">IFERROR(VLOOKUP($A82,Resultat2023!$B$11:$J$400,3,FALSE),"")</f>
        <v>158339.71</v>
      </c>
      <c r="H82" s="146">
        <f ca="1">IFERROR(VLOOKUP($A82,Resultat2023!$B$11:$J$400,4,FALSE),"")</f>
        <v>227922.36</v>
      </c>
      <c r="I82" s="146">
        <f ca="1">IFERROR(VLOOKUP($A82,Budsjett2024!$B$11:$J$400,3,FALSE),"")</f>
        <v>208248</v>
      </c>
    </row>
    <row r="83" spans="1:9" hidden="1" outlineLevel="2">
      <c r="A83" s="28">
        <v>5326</v>
      </c>
      <c r="B83" s="132" t="s">
        <v>114</v>
      </c>
      <c r="C83" s="146">
        <f ca="1">IFERROR(VLOOKUP($A83,Resultat2021!$B$11:$J$400,3,FALSE),"")</f>
        <v>121086</v>
      </c>
      <c r="D83" s="146">
        <f ca="1">IFERROR(VLOOKUP($A83,Resultat2021!$B$11:$J$400,4,FALSE),"")</f>
        <v>121374</v>
      </c>
      <c r="E83" s="146">
        <f ca="1">IFERROR(VLOOKUP($A83,Resultat2022!$B$11:$J$400,3,FALSE),"")</f>
        <v>135993</v>
      </c>
      <c r="F83" s="146">
        <f ca="1">IFERROR(VLOOKUP($A83,Resultat2022!$B$11:$J$400,4,FALSE),"")</f>
        <v>120000</v>
      </c>
      <c r="G83" s="146">
        <f ca="1">IFERROR(VLOOKUP($A83,Resultat2023!$B$11:$J$400,3,FALSE),"")</f>
        <v>136327</v>
      </c>
      <c r="H83" s="146">
        <f ca="1">IFERROR(VLOOKUP($A83,Resultat2023!$B$11:$J$400,4,FALSE),"")</f>
        <v>126999.99996</v>
      </c>
      <c r="I83" s="146">
        <f ca="1">IFERROR(VLOOKUP($A83,Budsjett2024!$B$11:$J$400,3,FALSE),"")</f>
        <v>126999.96</v>
      </c>
    </row>
    <row r="84" spans="1:9" hidden="1" outlineLevel="2">
      <c r="A84" s="28">
        <v>5391</v>
      </c>
      <c r="B84" s="132" t="s">
        <v>115</v>
      </c>
      <c r="C84" s="146">
        <f ca="1">IFERROR(VLOOKUP($A84,Resultat2021!$B$11:$J$400,3,FALSE),"")</f>
        <v>48625</v>
      </c>
      <c r="D84" s="146">
        <f ca="1">IFERROR(VLOOKUP($A84,Resultat2021!$B$11:$J$400,4,FALSE),"")</f>
        <v>0</v>
      </c>
      <c r="E84" s="146">
        <f ca="1">IFERROR(VLOOKUP($A84,Resultat2022!$B$11:$J$400,3,FALSE),"")</f>
        <v>0</v>
      </c>
      <c r="F84" s="146">
        <f ca="1">IFERROR(VLOOKUP($A84,Resultat2022!$B$11:$J$400,4,FALSE),"")</f>
        <v>0</v>
      </c>
      <c r="G84" s="146">
        <f ca="1">IFERROR(VLOOKUP($A84,Resultat2023!$B$11:$J$400,3,FALSE),"")</f>
        <v>15000</v>
      </c>
      <c r="H84" s="146">
        <f ca="1">IFERROR(VLOOKUP($A84,Resultat2023!$B$11:$J$400,4,FALSE),"")</f>
        <v>0</v>
      </c>
      <c r="I84" s="146">
        <f ca="1">IFERROR(VLOOKUP($A84,Budsjett2024!$B$11:$J$400,3,FALSE),"")</f>
        <v>0</v>
      </c>
    </row>
    <row r="85" spans="1:9" hidden="1" outlineLevel="1">
      <c r="A85" s="35" t="str">
        <f>"    "&amp;"Annen oppgavepliktig godtgjørelse"</f>
        <v xml:space="preserve">    Annen oppgavepliktig godtgjørelse</v>
      </c>
      <c r="B85" s="35"/>
      <c r="C85" s="147">
        <f ca="1">IFERROR(VLOOKUP($A85,Resultat2021!$B$11:$J$400,3,FALSE),"")</f>
        <v>367371.57999999996</v>
      </c>
      <c r="D85" s="147">
        <f ca="1">IFERROR(VLOOKUP($A85,Resultat2021!$B$11:$J$400,4,FALSE),"")</f>
        <v>330167.86</v>
      </c>
      <c r="E85" s="147">
        <f ca="1">IFERROR(VLOOKUP($A85,Resultat2022!$B$11:$J$400,3,FALSE),"")</f>
        <v>268629.95</v>
      </c>
      <c r="F85" s="147">
        <f ca="1">IFERROR(VLOOKUP($A85,Resultat2022!$B$11:$J$400,4,FALSE),"")</f>
        <v>351512</v>
      </c>
      <c r="G85" s="147">
        <f ca="1">IFERROR(VLOOKUP($A85,Resultat2023!$B$11:$J$400,3,FALSE),"")</f>
        <v>309666.70999999996</v>
      </c>
      <c r="H85" s="147">
        <f ca="1">IFERROR(VLOOKUP($A85,Resultat2023!$B$11:$J$400,4,FALSE),"")</f>
        <v>354922.35995999997</v>
      </c>
      <c r="I85" s="147">
        <f ca="1">IFERROR(VLOOKUP($A85,Budsjett2024!$B$11:$J$400,3,FALSE),"")</f>
        <v>335247.96000000002</v>
      </c>
    </row>
    <row r="86" spans="1:9" hidden="1" outlineLevel="2">
      <c r="A86" s="28">
        <v>5400</v>
      </c>
      <c r="B86" s="132" t="s">
        <v>116</v>
      </c>
      <c r="C86" s="146">
        <f ca="1">IFERROR(VLOOKUP($A86,Resultat2021!$B$11:$J$400,3,FALSE),"")</f>
        <v>1418860.11</v>
      </c>
      <c r="D86" s="146">
        <f ca="1">IFERROR(VLOOKUP($A86,Resultat2021!$B$11:$J$400,4,FALSE),"")</f>
        <v>1614915.5965430001</v>
      </c>
      <c r="E86" s="146">
        <f ca="1">IFERROR(VLOOKUP($A86,Resultat2022!$B$11:$J$400,3,FALSE),"")</f>
        <v>1444414.97</v>
      </c>
      <c r="F86" s="146">
        <f ca="1">IFERROR(VLOOKUP($A86,Resultat2022!$B$11:$J$400,4,FALSE),"")</f>
        <v>1739829.5305679999</v>
      </c>
      <c r="G86" s="146">
        <f ca="1">IFERROR(VLOOKUP($A86,Resultat2023!$B$11:$J$400,3,FALSE),"")</f>
        <v>1583130.1</v>
      </c>
      <c r="H86" s="146">
        <f ca="1">IFERROR(VLOOKUP($A86,Resultat2023!$B$11:$J$400,4,FALSE),"")</f>
        <v>1994621.712671</v>
      </c>
      <c r="I86" s="146">
        <f ca="1">IFERROR(VLOOKUP($A86,Budsjett2024!$B$11:$J$400,3,FALSE),"")</f>
        <v>2003689.170007</v>
      </c>
    </row>
    <row r="87" spans="1:9" hidden="1" outlineLevel="2">
      <c r="A87" s="28">
        <v>5410</v>
      </c>
      <c r="B87" s="132" t="s">
        <v>117</v>
      </c>
      <c r="C87" s="146">
        <f ca="1">IFERROR(VLOOKUP($A87,Resultat2021!$B$11:$J$400,3,FALSE),"")</f>
        <v>173547.75</v>
      </c>
      <c r="D87" s="146">
        <f ca="1">IFERROR(VLOOKUP($A87,Resultat2021!$B$11:$J$400,4,FALSE),"")</f>
        <v>180504.30954799999</v>
      </c>
      <c r="E87" s="146">
        <f ca="1">IFERROR(VLOOKUP($A87,Resultat2022!$B$11:$J$400,3,FALSE),"")</f>
        <v>165916.60999999999</v>
      </c>
      <c r="F87" s="146">
        <f ca="1">IFERROR(VLOOKUP($A87,Resultat2022!$B$11:$J$400,4,FALSE),"")</f>
        <v>191128.01456099999</v>
      </c>
      <c r="G87" s="146">
        <f ca="1">IFERROR(VLOOKUP($A87,Resultat2023!$B$11:$J$400,3,FALSE),"")</f>
        <v>183652.84</v>
      </c>
      <c r="H87" s="146">
        <f ca="1">IFERROR(VLOOKUP($A87,Resultat2023!$B$11:$J$400,4,FALSE),"")</f>
        <v>221773.29693300001</v>
      </c>
      <c r="I87" s="146">
        <f ca="1">IFERROR(VLOOKUP($A87,Budsjett2024!$B$11:$J$400,3,FALSE),"")</f>
        <v>223687.994679</v>
      </c>
    </row>
    <row r="88" spans="1:9" hidden="1" outlineLevel="1">
      <c r="A88" s="35" t="str">
        <f>"    "&amp;"Arbeidsgiveravgift og pensjonskostnad"</f>
        <v xml:space="preserve">    Arbeidsgiveravgift og pensjonskostnad</v>
      </c>
      <c r="B88" s="35"/>
      <c r="C88" s="147">
        <f ca="1">IFERROR(VLOOKUP($A88,Resultat2021!$B$11:$J$400,3,FALSE),"")</f>
        <v>1592407.86</v>
      </c>
      <c r="D88" s="147">
        <f ca="1">IFERROR(VLOOKUP($A88,Resultat2021!$B$11:$J$400,4,FALSE),"")</f>
        <v>1795419.906091</v>
      </c>
      <c r="E88" s="147">
        <f ca="1">IFERROR(VLOOKUP($A88,Resultat2022!$B$11:$J$400,3,FALSE),"")</f>
        <v>1610331.58</v>
      </c>
      <c r="F88" s="147">
        <f ca="1">IFERROR(VLOOKUP($A88,Resultat2022!$B$11:$J$400,4,FALSE),"")</f>
        <v>1930957.545129</v>
      </c>
      <c r="G88" s="147">
        <f ca="1">IFERROR(VLOOKUP($A88,Resultat2023!$B$11:$J$400,3,FALSE),"")</f>
        <v>1766782.9400000002</v>
      </c>
      <c r="H88" s="147">
        <f ca="1">IFERROR(VLOOKUP($A88,Resultat2023!$B$11:$J$400,4,FALSE),"")</f>
        <v>2216395.009604</v>
      </c>
      <c r="I88" s="147">
        <f ca="1">IFERROR(VLOOKUP($A88,Budsjett2024!$B$11:$J$400,3,FALSE),"")</f>
        <v>2227377.164686</v>
      </c>
    </row>
    <row r="89" spans="1:9" hidden="1" outlineLevel="2">
      <c r="A89" s="28">
        <v>5800</v>
      </c>
      <c r="B89" s="132" t="s">
        <v>118</v>
      </c>
      <c r="C89" s="146">
        <f ca="1">IFERROR(VLOOKUP($A89,Resultat2021!$B$11:$J$400,3,FALSE),"")</f>
        <v>-726574</v>
      </c>
      <c r="D89" s="146">
        <f ca="1">IFERROR(VLOOKUP($A89,Resultat2021!$B$11:$J$400,4,FALSE),"")</f>
        <v>0</v>
      </c>
      <c r="E89" s="146">
        <f ca="1">IFERROR(VLOOKUP($A89,Resultat2022!$B$11:$J$400,3,FALSE),"")</f>
        <v>-555720</v>
      </c>
      <c r="F89" s="146">
        <f ca="1">IFERROR(VLOOKUP($A89,Resultat2022!$B$11:$J$400,4,FALSE),"")</f>
        <v>0</v>
      </c>
      <c r="G89" s="146">
        <f ca="1">IFERROR(VLOOKUP($A89,Resultat2023!$B$11:$J$400,3,FALSE),"")</f>
        <v>-465197.01</v>
      </c>
      <c r="H89" s="146">
        <f ca="1">IFERROR(VLOOKUP($A89,Resultat2023!$B$11:$J$400,4,FALSE),"")</f>
        <v>0</v>
      </c>
      <c r="I89" s="146">
        <f ca="1">IFERROR(VLOOKUP($A89,Budsjett2024!$B$11:$J$400,3,FALSE),"")</f>
        <v>0</v>
      </c>
    </row>
    <row r="90" spans="1:9" hidden="1" outlineLevel="2">
      <c r="A90" s="28">
        <v>5802</v>
      </c>
      <c r="B90" s="132" t="s">
        <v>119</v>
      </c>
      <c r="C90" s="146">
        <f ca="1">IFERROR(VLOOKUP($A90,Resultat2021!$B$11:$J$400,3,FALSE),"")</f>
        <v>-1272</v>
      </c>
      <c r="D90" s="146">
        <f ca="1">IFERROR(VLOOKUP($A90,Resultat2021!$B$11:$J$400,4,FALSE),"")</f>
        <v>0</v>
      </c>
      <c r="E90" s="146">
        <f ca="1">IFERROR(VLOOKUP($A90,Resultat2022!$B$11:$J$400,3,FALSE),"")</f>
        <v>-6318.55</v>
      </c>
      <c r="F90" s="146">
        <f ca="1">IFERROR(VLOOKUP($A90,Resultat2022!$B$11:$J$400,4,FALSE),"")</f>
        <v>0</v>
      </c>
      <c r="G90" s="146">
        <f ca="1">IFERROR(VLOOKUP($A90,Resultat2023!$B$11:$J$400,3,FALSE),"")</f>
        <v>-84337.61</v>
      </c>
      <c r="H90" s="146">
        <f ca="1">IFERROR(VLOOKUP($A90,Resultat2023!$B$11:$J$400,4,FALSE),"")</f>
        <v>0</v>
      </c>
      <c r="I90" s="146">
        <f ca="1">IFERROR(VLOOKUP($A90,Budsjett2024!$B$11:$J$400,3,FALSE),"")</f>
        <v>0</v>
      </c>
    </row>
    <row r="91" spans="1:9" hidden="1" outlineLevel="2">
      <c r="A91" s="28">
        <v>5860</v>
      </c>
      <c r="B91" s="132" t="s">
        <v>120</v>
      </c>
      <c r="C91" s="146" t="str">
        <f ca="1">IFERROR(VLOOKUP($A91,Resultat2021!$B$11:$J$400,3,FALSE),"")</f>
        <v/>
      </c>
      <c r="D91" s="146" t="str">
        <f ca="1">IFERROR(VLOOKUP($A91,Resultat2021!$B$11:$J$400,4,FALSE),"")</f>
        <v/>
      </c>
      <c r="E91" s="146" t="str">
        <f ca="1">IFERROR(VLOOKUP($A91,Resultat2022!$B$11:$J$400,3,FALSE),"")</f>
        <v/>
      </c>
      <c r="F91" s="146" t="str">
        <f ca="1">IFERROR(VLOOKUP($A91,Resultat2022!$B$11:$J$400,4,FALSE),"")</f>
        <v/>
      </c>
      <c r="G91" s="146">
        <f ca="1">IFERROR(VLOOKUP($A91,Resultat2023!$B$11:$J$400,3,FALSE),"")</f>
        <v>-23652.99</v>
      </c>
      <c r="H91" s="146">
        <f ca="1">IFERROR(VLOOKUP($A91,Resultat2023!$B$11:$J$400,4,FALSE),"")</f>
        <v>0</v>
      </c>
      <c r="I91" s="146">
        <f ca="1">IFERROR(VLOOKUP($A91,Budsjett2024!$B$11:$J$400,3,FALSE),"")</f>
        <v>0</v>
      </c>
    </row>
    <row r="92" spans="1:9" hidden="1" outlineLevel="1">
      <c r="A92" s="35" t="str">
        <f>"    "&amp;"Offentlig refusjon vedrørende arbeidskraft"</f>
        <v xml:space="preserve">    Offentlig refusjon vedrørende arbeidskraft</v>
      </c>
      <c r="B92" s="35"/>
      <c r="C92" s="147">
        <f ca="1">IFERROR(VLOOKUP($A92,Resultat2021!$B$11:$J$400,3,FALSE),"")</f>
        <v>-727846</v>
      </c>
      <c r="D92" s="147">
        <f ca="1">IFERROR(VLOOKUP($A92,Resultat2021!$B$11:$J$400,4,FALSE),"")</f>
        <v>0</v>
      </c>
      <c r="E92" s="147">
        <f ca="1">IFERROR(VLOOKUP($A92,Resultat2022!$B$11:$J$400,3,FALSE),"")</f>
        <v>-562038.55000000005</v>
      </c>
      <c r="F92" s="147">
        <f ca="1">IFERROR(VLOOKUP($A92,Resultat2022!$B$11:$J$400,4,FALSE),"")</f>
        <v>0</v>
      </c>
      <c r="G92" s="147">
        <f ca="1">IFERROR(VLOOKUP($A92,Resultat2023!$B$11:$J$400,3,FALSE),"")</f>
        <v>-573187.61</v>
      </c>
      <c r="H92" s="147">
        <f ca="1">IFERROR(VLOOKUP($A92,Resultat2023!$B$11:$J$400,4,FALSE),"")</f>
        <v>0</v>
      </c>
      <c r="I92" s="147">
        <f ca="1">IFERROR(VLOOKUP($A92,Budsjett2024!$B$11:$J$400,3,FALSE),"")</f>
        <v>0</v>
      </c>
    </row>
    <row r="93" spans="1:9" hidden="1" outlineLevel="2">
      <c r="A93" s="28">
        <v>5500</v>
      </c>
      <c r="B93" s="132" t="s">
        <v>121</v>
      </c>
      <c r="C93" s="146">
        <f ca="1">IFERROR(VLOOKUP($A93,Resultat2021!$B$11:$J$400,3,FALSE),"")</f>
        <v>31777.06</v>
      </c>
      <c r="D93" s="146">
        <f ca="1">IFERROR(VLOOKUP($A93,Resultat2021!$B$11:$J$400,4,FALSE),"")</f>
        <v>0</v>
      </c>
      <c r="E93" s="146">
        <f ca="1">IFERROR(VLOOKUP($A93,Resultat2022!$B$11:$J$400,3,FALSE),"")</f>
        <v>206795.33</v>
      </c>
      <c r="F93" s="146">
        <f ca="1">IFERROR(VLOOKUP($A93,Resultat2022!$B$11:$J$400,4,FALSE),"")</f>
        <v>0</v>
      </c>
      <c r="G93" s="146">
        <f ca="1">IFERROR(VLOOKUP($A93,Resultat2023!$B$11:$J$400,3,FALSE),"")</f>
        <v>210688.18</v>
      </c>
      <c r="H93" s="146">
        <f ca="1">IFERROR(VLOOKUP($A93,Resultat2023!$B$11:$J$400,4,FALSE),"")</f>
        <v>0</v>
      </c>
      <c r="I93" s="146">
        <f ca="1">IFERROR(VLOOKUP($A93,Budsjett2024!$B$11:$J$400,3,FALSE),"")</f>
        <v>0</v>
      </c>
    </row>
    <row r="94" spans="1:9" hidden="1" outlineLevel="2">
      <c r="A94" s="28">
        <v>5900</v>
      </c>
      <c r="B94" s="132" t="s">
        <v>122</v>
      </c>
      <c r="C94" s="146">
        <f ca="1">IFERROR(VLOOKUP($A94,Resultat2021!$B$11:$J$400,3,FALSE),"")</f>
        <v>18620.900000000001</v>
      </c>
      <c r="D94" s="146">
        <f ca="1">IFERROR(VLOOKUP($A94,Resultat2021!$B$11:$J$400,4,FALSE),"")</f>
        <v>0.01</v>
      </c>
      <c r="E94" s="146">
        <f ca="1">IFERROR(VLOOKUP($A94,Resultat2022!$B$11:$J$400,3,FALSE),"")</f>
        <v>29318.7</v>
      </c>
      <c r="F94" s="146">
        <f ca="1">IFERROR(VLOOKUP($A94,Resultat2022!$B$11:$J$400,4,FALSE),"")</f>
        <v>0</v>
      </c>
      <c r="G94" s="146">
        <f ca="1">IFERROR(VLOOKUP($A94,Resultat2023!$B$11:$J$400,3,FALSE),"")</f>
        <v>39388.85</v>
      </c>
      <c r="H94" s="146">
        <f ca="1">IFERROR(VLOOKUP($A94,Resultat2023!$B$11:$J$400,4,FALSE),"")</f>
        <v>0</v>
      </c>
      <c r="I94" s="146">
        <f ca="1">IFERROR(VLOOKUP($A94,Budsjett2024!$B$11:$J$400,3,FALSE),"")</f>
        <v>25000</v>
      </c>
    </row>
    <row r="95" spans="1:9" hidden="1" outlineLevel="2">
      <c r="A95" s="28">
        <v>5910</v>
      </c>
      <c r="B95" s="132" t="s">
        <v>109</v>
      </c>
      <c r="C95" s="146">
        <f ca="1">IFERROR(VLOOKUP($A95,Resultat2021!$B$11:$J$400,3,FALSE),"")</f>
        <v>8320.2800000000007</v>
      </c>
      <c r="D95" s="146">
        <f ca="1">IFERROR(VLOOKUP($A95,Resultat2021!$B$11:$J$400,4,FALSE),"")</f>
        <v>0</v>
      </c>
      <c r="E95" s="146">
        <f ca="1">IFERROR(VLOOKUP($A95,Resultat2022!$B$11:$J$400,3,FALSE),"")</f>
        <v>10922.17</v>
      </c>
      <c r="F95" s="146">
        <f ca="1">IFERROR(VLOOKUP($A95,Resultat2022!$B$11:$J$400,4,FALSE),"")</f>
        <v>0</v>
      </c>
      <c r="G95" s="146">
        <f ca="1">IFERROR(VLOOKUP($A95,Resultat2023!$B$11:$J$400,3,FALSE),"")</f>
        <v>14321.96</v>
      </c>
      <c r="H95" s="146">
        <f ca="1">IFERROR(VLOOKUP($A95,Resultat2023!$B$11:$J$400,4,FALSE),"")</f>
        <v>0</v>
      </c>
      <c r="I95" s="146">
        <f ca="1">IFERROR(VLOOKUP($A95,Budsjett2024!$B$11:$J$400,3,FALSE),"")</f>
        <v>9999.9599999999991</v>
      </c>
    </row>
    <row r="96" spans="1:9" hidden="1" outlineLevel="2">
      <c r="A96" s="28">
        <v>5942</v>
      </c>
      <c r="B96" s="132" t="s">
        <v>123</v>
      </c>
      <c r="C96" s="146">
        <f ca="1">IFERROR(VLOOKUP($A96,Resultat2021!$B$11:$J$400,3,FALSE),"")</f>
        <v>18138</v>
      </c>
      <c r="D96" s="146">
        <f ca="1">IFERROR(VLOOKUP($A96,Resultat2021!$B$11:$J$400,4,FALSE),"")</f>
        <v>0</v>
      </c>
      <c r="E96" s="146">
        <f ca="1">IFERROR(VLOOKUP($A96,Resultat2022!$B$11:$J$400,3,FALSE),"")</f>
        <v>-231578</v>
      </c>
      <c r="F96" s="146">
        <f ca="1">IFERROR(VLOOKUP($A96,Resultat2022!$B$11:$J$400,4,FALSE),"")</f>
        <v>0</v>
      </c>
      <c r="G96" s="146">
        <f ca="1">IFERROR(VLOOKUP($A96,Resultat2023!$B$11:$J$400,3,FALSE),"")</f>
        <v>196838</v>
      </c>
      <c r="H96" s="146">
        <f ca="1">IFERROR(VLOOKUP($A96,Resultat2023!$B$11:$J$400,4,FALSE),"")</f>
        <v>0</v>
      </c>
      <c r="I96" s="146">
        <f ca="1">IFERROR(VLOOKUP($A96,Budsjett2024!$B$11:$J$400,3,FALSE),"")</f>
        <v>0</v>
      </c>
    </row>
    <row r="97" spans="1:9" hidden="1" outlineLevel="2">
      <c r="A97" s="28">
        <v>5947</v>
      </c>
      <c r="B97" s="132" t="s">
        <v>124</v>
      </c>
      <c r="C97" s="146">
        <f ca="1">IFERROR(VLOOKUP($A97,Resultat2021!$B$11:$J$400,3,FALSE),"")</f>
        <v>631038.68000000005</v>
      </c>
      <c r="D97" s="146">
        <f ca="1">IFERROR(VLOOKUP($A97,Resultat2021!$B$11:$J$400,4,FALSE),"")</f>
        <v>595931.68000000005</v>
      </c>
      <c r="E97" s="146">
        <f ca="1">IFERROR(VLOOKUP($A97,Resultat2022!$B$11:$J$400,3,FALSE),"")</f>
        <v>849490.04</v>
      </c>
      <c r="F97" s="146">
        <f ca="1">IFERROR(VLOOKUP($A97,Resultat2022!$B$11:$J$400,4,FALSE),"")</f>
        <v>1231994</v>
      </c>
      <c r="G97" s="146">
        <f ca="1">IFERROR(VLOOKUP($A97,Resultat2023!$B$11:$J$400,3,FALSE),"")</f>
        <v>995789.84</v>
      </c>
      <c r="H97" s="146">
        <f ca="1">IFERROR(VLOOKUP($A97,Resultat2023!$B$11:$J$400,4,FALSE),"")</f>
        <v>1198862.5783319999</v>
      </c>
      <c r="I97" s="146">
        <f ca="1">IFERROR(VLOOKUP($A97,Budsjett2024!$B$11:$J$400,3,FALSE),"")</f>
        <v>1267212</v>
      </c>
    </row>
    <row r="98" spans="1:9" hidden="1" outlineLevel="2">
      <c r="A98" s="28">
        <v>5960</v>
      </c>
      <c r="B98" s="132" t="s">
        <v>125</v>
      </c>
      <c r="C98" s="146">
        <f ca="1">IFERROR(VLOOKUP($A98,Resultat2021!$B$11:$J$400,3,FALSE),"")</f>
        <v>29386</v>
      </c>
      <c r="D98" s="146">
        <f ca="1">IFERROR(VLOOKUP($A98,Resultat2021!$B$11:$J$400,4,FALSE),"")</f>
        <v>0.01</v>
      </c>
      <c r="E98" s="146">
        <f ca="1">IFERROR(VLOOKUP($A98,Resultat2022!$B$11:$J$400,3,FALSE),"")</f>
        <v>13175</v>
      </c>
      <c r="F98" s="146">
        <f ca="1">IFERROR(VLOOKUP($A98,Resultat2022!$B$11:$J$400,4,FALSE),"")</f>
        <v>0</v>
      </c>
      <c r="G98" s="146">
        <f ca="1">IFERROR(VLOOKUP($A98,Resultat2023!$B$11:$J$400,3,FALSE),"")</f>
        <v>23037.5</v>
      </c>
      <c r="H98" s="146">
        <f ca="1">IFERROR(VLOOKUP($A98,Resultat2023!$B$11:$J$400,4,FALSE),"")</f>
        <v>0</v>
      </c>
      <c r="I98" s="146">
        <f ca="1">IFERROR(VLOOKUP($A98,Budsjett2024!$B$11:$J$400,3,FALSE),"")</f>
        <v>12000</v>
      </c>
    </row>
    <row r="99" spans="1:9" hidden="1" outlineLevel="2">
      <c r="A99" s="28">
        <v>5980</v>
      </c>
      <c r="B99" s="132" t="s">
        <v>126</v>
      </c>
      <c r="C99" s="146">
        <f ca="1">IFERROR(VLOOKUP($A99,Resultat2021!$B$11:$J$400,3,FALSE),"")</f>
        <v>288686.07</v>
      </c>
      <c r="D99" s="146">
        <f ca="1">IFERROR(VLOOKUP($A99,Resultat2021!$B$11:$J$400,4,FALSE),"")</f>
        <v>0</v>
      </c>
      <c r="E99" s="146">
        <f ca="1">IFERROR(VLOOKUP($A99,Resultat2022!$B$11:$J$400,3,FALSE),"")</f>
        <v>503801.31</v>
      </c>
      <c r="F99" s="146">
        <f ca="1">IFERROR(VLOOKUP($A99,Resultat2022!$B$11:$J$400,4,FALSE),"")</f>
        <v>0</v>
      </c>
      <c r="G99" s="146">
        <f ca="1">IFERROR(VLOOKUP($A99,Resultat2023!$B$11:$J$400,3,FALSE),"")</f>
        <v>926978.17</v>
      </c>
      <c r="H99" s="146">
        <f ca="1">IFERROR(VLOOKUP($A99,Resultat2023!$B$11:$J$400,4,FALSE),"")</f>
        <v>205800</v>
      </c>
      <c r="I99" s="146">
        <f ca="1">IFERROR(VLOOKUP($A99,Budsjett2024!$B$11:$J$400,3,FALSE),"")</f>
        <v>0</v>
      </c>
    </row>
    <row r="100" spans="1:9" hidden="1" outlineLevel="2">
      <c r="A100" s="28">
        <v>5990</v>
      </c>
      <c r="B100" s="132" t="s">
        <v>127</v>
      </c>
      <c r="C100" s="146">
        <f ca="1">IFERROR(VLOOKUP($A100,Resultat2021!$B$11:$J$400,3,FALSE),"")</f>
        <v>82388.81</v>
      </c>
      <c r="D100" s="146">
        <f ca="1">IFERROR(VLOOKUP($A100,Resultat2021!$B$11:$J$400,4,FALSE),"")</f>
        <v>10377.5</v>
      </c>
      <c r="E100" s="146">
        <f ca="1">IFERROR(VLOOKUP($A100,Resultat2022!$B$11:$J$400,3,FALSE),"")</f>
        <v>47796.959999999999</v>
      </c>
      <c r="F100" s="146">
        <f ca="1">IFERROR(VLOOKUP($A100,Resultat2022!$B$11:$J$400,4,FALSE),"")</f>
        <v>2010</v>
      </c>
      <c r="G100" s="146">
        <f ca="1">IFERROR(VLOOKUP($A100,Resultat2023!$B$11:$J$400,3,FALSE),"")</f>
        <v>56250.16</v>
      </c>
      <c r="H100" s="146">
        <f ca="1">IFERROR(VLOOKUP($A100,Resultat2023!$B$11:$J$400,4,FALSE),"")</f>
        <v>313</v>
      </c>
      <c r="I100" s="146">
        <f ca="1">IFERROR(VLOOKUP($A100,Budsjett2024!$B$11:$J$400,3,FALSE),"")</f>
        <v>35010</v>
      </c>
    </row>
    <row r="101" spans="1:9" hidden="1" outlineLevel="2">
      <c r="A101" s="28">
        <v>5995</v>
      </c>
      <c r="B101" s="132" t="s">
        <v>128</v>
      </c>
      <c r="C101" s="146">
        <f ca="1">IFERROR(VLOOKUP($A101,Resultat2021!$B$11:$J$400,3,FALSE),"")</f>
        <v>0.2</v>
      </c>
      <c r="D101" s="146">
        <f ca="1">IFERROR(VLOOKUP($A101,Resultat2021!$B$11:$J$400,4,FALSE),"")</f>
        <v>1196</v>
      </c>
      <c r="E101" s="146">
        <f ca="1">IFERROR(VLOOKUP($A101,Resultat2022!$B$11:$J$400,3,FALSE),"")</f>
        <v>0</v>
      </c>
      <c r="F101" s="146">
        <f ca="1">IFERROR(VLOOKUP($A101,Resultat2022!$B$11:$J$400,4,FALSE),"")</f>
        <v>1861</v>
      </c>
      <c r="G101" s="146">
        <f ca="1">IFERROR(VLOOKUP($A101,Resultat2023!$B$11:$J$400,3,FALSE),"")</f>
        <v>0</v>
      </c>
      <c r="H101" s="146">
        <f ca="1">IFERROR(VLOOKUP($A101,Resultat2023!$B$11:$J$400,4,FALSE),"")</f>
        <v>-36453.949999999997</v>
      </c>
      <c r="I101" s="146" t="str">
        <f ca="1">IFERROR(VLOOKUP($A101,Budsjett2024!$B$11:$J$400,3,FALSE),"")</f>
        <v/>
      </c>
    </row>
    <row r="102" spans="1:9" hidden="1" outlineLevel="2">
      <c r="A102" s="28">
        <v>5999</v>
      </c>
      <c r="B102" s="132" t="s">
        <v>129</v>
      </c>
      <c r="C102" s="146">
        <f ca="1">IFERROR(VLOOKUP($A102,Resultat2021!$B$11:$J$400,3,FALSE),"")</f>
        <v>0</v>
      </c>
      <c r="D102" s="146">
        <f ca="1">IFERROR(VLOOKUP($A102,Resultat2021!$B$11:$J$400,4,FALSE),"")</f>
        <v>0.01</v>
      </c>
      <c r="E102" s="146">
        <f ca="1">IFERROR(VLOOKUP($A102,Resultat2022!$B$11:$J$400,3,FALSE),"")</f>
        <v>0</v>
      </c>
      <c r="F102" s="146">
        <f ca="1">IFERROR(VLOOKUP($A102,Resultat2022!$B$11:$J$400,4,FALSE),"")</f>
        <v>0</v>
      </c>
      <c r="G102" s="146">
        <f ca="1">IFERROR(VLOOKUP($A102,Resultat2023!$B$11:$J$400,3,FALSE),"")</f>
        <v>0</v>
      </c>
      <c r="H102" s="146">
        <f ca="1">IFERROR(VLOOKUP($A102,Resultat2023!$B$11:$J$400,4,FALSE),"")</f>
        <v>0</v>
      </c>
      <c r="I102" s="146">
        <f ca="1">IFERROR(VLOOKUP($A102,Budsjett2024!$B$11:$J$400,3,FALSE),"")</f>
        <v>0</v>
      </c>
    </row>
    <row r="103" spans="1:9" hidden="1" outlineLevel="1">
      <c r="A103" s="35" t="str">
        <f>"    "&amp;"Annen personalkostnad"</f>
        <v xml:space="preserve">    Annen personalkostnad</v>
      </c>
      <c r="B103" s="35"/>
      <c r="C103" s="147">
        <f ca="1">IFERROR(VLOOKUP($A103,Resultat2021!$B$11:$J$400,3,FALSE),"")</f>
        <v>1108356</v>
      </c>
      <c r="D103" s="147">
        <f ca="1">IFERROR(VLOOKUP($A103,Resultat2021!$B$11:$J$400,4,FALSE),"")</f>
        <v>607505.21000000008</v>
      </c>
      <c r="E103" s="147">
        <f ca="1">IFERROR(VLOOKUP($A103,Resultat2022!$B$11:$J$400,3,FALSE),"")</f>
        <v>1429721.51</v>
      </c>
      <c r="F103" s="147">
        <f ca="1">IFERROR(VLOOKUP($A103,Resultat2022!$B$11:$J$400,4,FALSE),"")</f>
        <v>1235865</v>
      </c>
      <c r="G103" s="147">
        <f ca="1">IFERROR(VLOOKUP($A103,Resultat2023!$B$11:$J$400,3,FALSE),"")</f>
        <v>2463292.66</v>
      </c>
      <c r="H103" s="147">
        <f ca="1">IFERROR(VLOOKUP($A103,Resultat2023!$B$11:$J$400,4,FALSE),"")</f>
        <v>1368521.628332</v>
      </c>
      <c r="I103" s="147">
        <f ca="1">IFERROR(VLOOKUP($A103,Budsjett2024!$B$11:$J$400,3,FALSE),"")</f>
        <v>1349221.96</v>
      </c>
    </row>
    <row r="104" spans="1:9" hidden="1" outlineLevel="2">
      <c r="A104" s="28">
        <v>5310</v>
      </c>
      <c r="B104" s="132" t="s">
        <v>130</v>
      </c>
      <c r="C104" s="146">
        <f ca="1">IFERROR(VLOOKUP($A104,Resultat2021!$B$11:$J$400,3,FALSE),"")</f>
        <v>0</v>
      </c>
      <c r="D104" s="146">
        <f ca="1">IFERROR(VLOOKUP($A104,Resultat2021!$B$11:$J$400,4,FALSE),"")</f>
        <v>0</v>
      </c>
      <c r="E104" s="146">
        <f ca="1">IFERROR(VLOOKUP($A104,Resultat2022!$B$11:$J$400,3,FALSE),"")</f>
        <v>0</v>
      </c>
      <c r="F104" s="146">
        <f ca="1">IFERROR(VLOOKUP($A104,Resultat2022!$B$11:$J$400,4,FALSE),"")</f>
        <v>5601</v>
      </c>
      <c r="G104" s="146">
        <f ca="1">IFERROR(VLOOKUP($A104,Resultat2023!$B$11:$J$400,3,FALSE),"")</f>
        <v>0</v>
      </c>
      <c r="H104" s="146">
        <f ca="1">IFERROR(VLOOKUP($A104,Resultat2023!$B$11:$J$400,4,FALSE),"")</f>
        <v>0</v>
      </c>
      <c r="I104" s="146" t="str">
        <f ca="1">IFERROR(VLOOKUP($A104,Budsjett2024!$B$11:$J$400,3,FALSE),"")</f>
        <v/>
      </c>
    </row>
    <row r="105" spans="1:9" hidden="1" outlineLevel="2">
      <c r="A105" s="28">
        <v>5311</v>
      </c>
      <c r="B105" s="132" t="s">
        <v>131</v>
      </c>
      <c r="C105" s="146">
        <f ca="1">IFERROR(VLOOKUP($A105,Resultat2021!$B$11:$J$400,3,FALSE),"")</f>
        <v>0</v>
      </c>
      <c r="D105" s="146">
        <f ca="1">IFERROR(VLOOKUP($A105,Resultat2021!$B$11:$J$400,4,FALSE),"")</f>
        <v>0</v>
      </c>
      <c r="E105" s="146" t="str">
        <f ca="1">IFERROR(VLOOKUP($A105,Resultat2022!$B$11:$J$400,3,FALSE),"")</f>
        <v/>
      </c>
      <c r="F105" s="146" t="str">
        <f ca="1">IFERROR(VLOOKUP($A105,Resultat2022!$B$11:$J$400,4,FALSE),"")</f>
        <v/>
      </c>
      <c r="G105" s="146" t="str">
        <f ca="1">IFERROR(VLOOKUP($A105,Resultat2023!$B$11:$J$400,3,FALSE),"")</f>
        <v/>
      </c>
      <c r="H105" s="146" t="str">
        <f ca="1">IFERROR(VLOOKUP($A105,Resultat2023!$B$11:$J$400,4,FALSE),"")</f>
        <v/>
      </c>
      <c r="I105" s="146" t="str">
        <f ca="1">IFERROR(VLOOKUP($A105,Budsjett2024!$B$11:$J$400,3,FALSE),"")</f>
        <v/>
      </c>
    </row>
    <row r="106" spans="1:9" hidden="1" outlineLevel="2">
      <c r="A106" s="28">
        <v>5324</v>
      </c>
      <c r="B106" s="132" t="s">
        <v>132</v>
      </c>
      <c r="C106" s="146">
        <f ca="1">IFERROR(VLOOKUP($A106,Resultat2021!$B$11:$J$400,3,FALSE),"")</f>
        <v>0</v>
      </c>
      <c r="D106" s="146">
        <f ca="1">IFERROR(VLOOKUP($A106,Resultat2021!$B$11:$J$400,4,FALSE),"")</f>
        <v>0</v>
      </c>
      <c r="E106" s="146" t="str">
        <f ca="1">IFERROR(VLOOKUP($A106,Resultat2022!$B$11:$J$400,3,FALSE),"")</f>
        <v/>
      </c>
      <c r="F106" s="146" t="str">
        <f ca="1">IFERROR(VLOOKUP($A106,Resultat2022!$B$11:$J$400,4,FALSE),"")</f>
        <v/>
      </c>
      <c r="G106" s="146" t="str">
        <f ca="1">IFERROR(VLOOKUP($A106,Resultat2023!$B$11:$J$400,3,FALSE),"")</f>
        <v/>
      </c>
      <c r="H106" s="146" t="str">
        <f ca="1">IFERROR(VLOOKUP($A106,Resultat2023!$B$11:$J$400,4,FALSE),"")</f>
        <v/>
      </c>
      <c r="I106" s="146" t="str">
        <f ca="1">IFERROR(VLOOKUP($A106,Budsjett2024!$B$11:$J$400,3,FALSE),"")</f>
        <v/>
      </c>
    </row>
    <row r="107" spans="1:9" hidden="1" outlineLevel="2">
      <c r="A107" s="28">
        <v>5325</v>
      </c>
      <c r="B107" s="132" t="s">
        <v>133</v>
      </c>
      <c r="C107" s="146">
        <f ca="1">IFERROR(VLOOKUP($A107,Resultat2021!$B$11:$J$400,3,FALSE),"")</f>
        <v>0</v>
      </c>
      <c r="D107" s="146">
        <f ca="1">IFERROR(VLOOKUP($A107,Resultat2021!$B$11:$J$400,4,FALSE),"")</f>
        <v>0</v>
      </c>
      <c r="E107" s="146" t="str">
        <f ca="1">IFERROR(VLOOKUP($A107,Resultat2022!$B$11:$J$400,3,FALSE),"")</f>
        <v/>
      </c>
      <c r="F107" s="146" t="str">
        <f ca="1">IFERROR(VLOOKUP($A107,Resultat2022!$B$11:$J$400,4,FALSE),"")</f>
        <v/>
      </c>
      <c r="G107" s="146" t="str">
        <f ca="1">IFERROR(VLOOKUP($A107,Resultat2023!$B$11:$J$400,3,FALSE),"")</f>
        <v/>
      </c>
      <c r="H107" s="146" t="str">
        <f ca="1">IFERROR(VLOOKUP($A107,Resultat2023!$B$11:$J$400,4,FALSE),"")</f>
        <v/>
      </c>
      <c r="I107" s="146" t="str">
        <f ca="1">IFERROR(VLOOKUP($A107,Budsjett2024!$B$11:$J$400,3,FALSE),"")</f>
        <v/>
      </c>
    </row>
    <row r="108" spans="1:9" hidden="1" outlineLevel="2">
      <c r="A108" s="28">
        <v>5921</v>
      </c>
      <c r="B108" s="132" t="s">
        <v>134</v>
      </c>
      <c r="C108" s="146">
        <f ca="1">IFERROR(VLOOKUP($A108,Resultat2021!$B$11:$J$400,3,FALSE),"")</f>
        <v>0</v>
      </c>
      <c r="D108" s="146">
        <f ca="1">IFERROR(VLOOKUP($A108,Resultat2021!$B$11:$J$400,4,FALSE),"")</f>
        <v>0</v>
      </c>
      <c r="E108" s="146" t="str">
        <f ca="1">IFERROR(VLOOKUP($A108,Resultat2022!$B$11:$J$400,3,FALSE),"")</f>
        <v/>
      </c>
      <c r="F108" s="146" t="str">
        <f ca="1">IFERROR(VLOOKUP($A108,Resultat2022!$B$11:$J$400,4,FALSE),"")</f>
        <v/>
      </c>
      <c r="G108" s="146" t="str">
        <f ca="1">IFERROR(VLOOKUP($A108,Resultat2023!$B$11:$J$400,3,FALSE),"")</f>
        <v/>
      </c>
      <c r="H108" s="146" t="str">
        <f ca="1">IFERROR(VLOOKUP($A108,Resultat2023!$B$11:$J$400,4,FALSE),"")</f>
        <v/>
      </c>
      <c r="I108" s="146" t="str">
        <f ca="1">IFERROR(VLOOKUP($A108,Budsjett2024!$B$11:$J$400,3,FALSE),"")</f>
        <v/>
      </c>
    </row>
    <row r="109" spans="1:9" hidden="1" outlineLevel="2">
      <c r="A109" s="28">
        <v>5930</v>
      </c>
      <c r="B109" s="132" t="s">
        <v>135</v>
      </c>
      <c r="C109" s="146">
        <f ca="1">IFERROR(VLOOKUP($A109,Resultat2021!$B$11:$J$400,3,FALSE),"")</f>
        <v>0</v>
      </c>
      <c r="D109" s="146">
        <f ca="1">IFERROR(VLOOKUP($A109,Resultat2021!$B$11:$J$400,4,FALSE),"")</f>
        <v>0</v>
      </c>
      <c r="E109" s="146">
        <f ca="1">IFERROR(VLOOKUP($A109,Resultat2022!$B$11:$J$400,3,FALSE),"")</f>
        <v>0</v>
      </c>
      <c r="F109" s="146">
        <f ca="1">IFERROR(VLOOKUP($A109,Resultat2022!$B$11:$J$400,4,FALSE),"")</f>
        <v>0</v>
      </c>
      <c r="G109" s="146" t="str">
        <f ca="1">IFERROR(VLOOKUP($A109,Resultat2023!$B$11:$J$400,3,FALSE),"")</f>
        <v/>
      </c>
      <c r="H109" s="146" t="str">
        <f ca="1">IFERROR(VLOOKUP($A109,Resultat2023!$B$11:$J$400,4,FALSE),"")</f>
        <v/>
      </c>
      <c r="I109" s="146" t="str">
        <f ca="1">IFERROR(VLOOKUP($A109,Budsjett2024!$B$11:$J$400,3,FALSE),"")</f>
        <v/>
      </c>
    </row>
    <row r="110" spans="1:9" hidden="1" outlineLevel="2">
      <c r="A110" s="28">
        <v>5931</v>
      </c>
      <c r="B110" s="132" t="s">
        <v>136</v>
      </c>
      <c r="C110" s="146">
        <f ca="1">IFERROR(VLOOKUP($A110,Resultat2021!$B$11:$J$400,3,FALSE),"")</f>
        <v>0</v>
      </c>
      <c r="D110" s="146">
        <f ca="1">IFERROR(VLOOKUP($A110,Resultat2021!$B$11:$J$400,4,FALSE),"")</f>
        <v>0</v>
      </c>
      <c r="E110" s="146">
        <f ca="1">IFERROR(VLOOKUP($A110,Resultat2022!$B$11:$J$400,3,FALSE),"")</f>
        <v>0</v>
      </c>
      <c r="F110" s="146">
        <f ca="1">IFERROR(VLOOKUP($A110,Resultat2022!$B$11:$J$400,4,FALSE),"")</f>
        <v>0</v>
      </c>
      <c r="G110" s="146" t="str">
        <f ca="1">IFERROR(VLOOKUP($A110,Resultat2023!$B$11:$J$400,3,FALSE),"")</f>
        <v/>
      </c>
      <c r="H110" s="146" t="str">
        <f ca="1">IFERROR(VLOOKUP($A110,Resultat2023!$B$11:$J$400,4,FALSE),"")</f>
        <v/>
      </c>
      <c r="I110" s="146" t="str">
        <f ca="1">IFERROR(VLOOKUP($A110,Budsjett2024!$B$11:$J$400,3,FALSE),"")</f>
        <v/>
      </c>
    </row>
    <row r="111" spans="1:9" hidden="1" outlineLevel="2">
      <c r="A111" s="28">
        <v>5940</v>
      </c>
      <c r="B111" s="132" t="s">
        <v>137</v>
      </c>
      <c r="C111" s="146">
        <f ca="1">IFERROR(VLOOKUP($A111,Resultat2021!$B$11:$J$400,3,FALSE),"")</f>
        <v>0</v>
      </c>
      <c r="D111" s="146">
        <f ca="1">IFERROR(VLOOKUP($A111,Resultat2021!$B$11:$J$400,4,FALSE),"")</f>
        <v>0</v>
      </c>
      <c r="E111" s="146" t="str">
        <f ca="1">IFERROR(VLOOKUP($A111,Resultat2022!$B$11:$J$400,3,FALSE),"")</f>
        <v/>
      </c>
      <c r="F111" s="146" t="str">
        <f ca="1">IFERROR(VLOOKUP($A111,Resultat2022!$B$11:$J$400,4,FALSE),"")</f>
        <v/>
      </c>
      <c r="G111" s="146" t="str">
        <f ca="1">IFERROR(VLOOKUP($A111,Resultat2023!$B$11:$J$400,3,FALSE),"")</f>
        <v/>
      </c>
      <c r="H111" s="146" t="str">
        <f ca="1">IFERROR(VLOOKUP($A111,Resultat2023!$B$11:$J$400,4,FALSE),"")</f>
        <v/>
      </c>
      <c r="I111" s="146" t="str">
        <f ca="1">IFERROR(VLOOKUP($A111,Budsjett2024!$B$11:$J$400,3,FALSE),"")</f>
        <v/>
      </c>
    </row>
    <row r="112" spans="1:9" hidden="1" outlineLevel="2">
      <c r="A112" s="28">
        <v>5944</v>
      </c>
      <c r="B112" s="132" t="s">
        <v>138</v>
      </c>
      <c r="C112" s="146">
        <f ca="1">IFERROR(VLOOKUP($A112,Resultat2021!$B$11:$J$400,3,FALSE),"")</f>
        <v>0</v>
      </c>
      <c r="D112" s="146">
        <f ca="1">IFERROR(VLOOKUP($A112,Resultat2021!$B$11:$J$400,4,FALSE),"")</f>
        <v>0</v>
      </c>
      <c r="E112" s="146">
        <f ca="1">IFERROR(VLOOKUP($A112,Resultat2022!$B$11:$J$400,3,FALSE),"")</f>
        <v>0</v>
      </c>
      <c r="F112" s="146">
        <f ca="1">IFERROR(VLOOKUP($A112,Resultat2022!$B$11:$J$400,4,FALSE),"")</f>
        <v>0</v>
      </c>
      <c r="G112" s="146" t="str">
        <f ca="1">IFERROR(VLOOKUP($A112,Resultat2023!$B$11:$J$400,3,FALSE),"")</f>
        <v/>
      </c>
      <c r="H112" s="146" t="str">
        <f ca="1">IFERROR(VLOOKUP($A112,Resultat2023!$B$11:$J$400,4,FALSE),"")</f>
        <v/>
      </c>
      <c r="I112" s="146" t="str">
        <f ca="1">IFERROR(VLOOKUP($A112,Budsjett2024!$B$11:$J$400,3,FALSE),"")</f>
        <v/>
      </c>
    </row>
    <row r="113" spans="1:9" hidden="1" outlineLevel="2">
      <c r="A113" s="28">
        <v>5948</v>
      </c>
      <c r="B113" s="132" t="s">
        <v>139</v>
      </c>
      <c r="C113" s="146">
        <f ca="1">IFERROR(VLOOKUP($A113,Resultat2021!$B$11:$J$400,3,FALSE),"")</f>
        <v>0</v>
      </c>
      <c r="D113" s="146">
        <f ca="1">IFERROR(VLOOKUP($A113,Resultat2021!$B$11:$J$400,4,FALSE),"")</f>
        <v>0</v>
      </c>
      <c r="E113" s="146">
        <f ca="1">IFERROR(VLOOKUP($A113,Resultat2022!$B$11:$J$400,3,FALSE),"")</f>
        <v>0</v>
      </c>
      <c r="F113" s="146">
        <f ca="1">IFERROR(VLOOKUP($A113,Resultat2022!$B$11:$J$400,4,FALSE),"")</f>
        <v>0</v>
      </c>
      <c r="G113" s="146" t="str">
        <f ca="1">IFERROR(VLOOKUP($A113,Resultat2023!$B$11:$J$400,3,FALSE),"")</f>
        <v/>
      </c>
      <c r="H113" s="146" t="str">
        <f ca="1">IFERROR(VLOOKUP($A113,Resultat2023!$B$11:$J$400,4,FALSE),"")</f>
        <v/>
      </c>
      <c r="I113" s="146" t="str">
        <f ca="1">IFERROR(VLOOKUP($A113,Budsjett2024!$B$11:$J$400,3,FALSE),"")</f>
        <v/>
      </c>
    </row>
    <row r="114" spans="1:9" hidden="1" outlineLevel="2">
      <c r="A114" s="28">
        <v>5994</v>
      </c>
      <c r="B114" s="132" t="s">
        <v>140</v>
      </c>
      <c r="C114" s="146">
        <f ca="1">IFERROR(VLOOKUP($A114,Resultat2021!$B$11:$J$400,3,FALSE),"")</f>
        <v>0</v>
      </c>
      <c r="D114" s="146">
        <f ca="1">IFERROR(VLOOKUP($A114,Resultat2021!$B$11:$J$400,4,FALSE),"")</f>
        <v>0</v>
      </c>
      <c r="E114" s="146">
        <f ca="1">IFERROR(VLOOKUP($A114,Resultat2022!$B$11:$J$400,3,FALSE),"")</f>
        <v>0</v>
      </c>
      <c r="F114" s="146">
        <f ca="1">IFERROR(VLOOKUP($A114,Resultat2022!$B$11:$J$400,4,FALSE),"")</f>
        <v>0</v>
      </c>
      <c r="G114" s="146">
        <f ca="1">IFERROR(VLOOKUP($A114,Resultat2023!$B$11:$J$400,3,FALSE),"")</f>
        <v>0</v>
      </c>
      <c r="H114" s="146">
        <f ca="1">IFERROR(VLOOKUP($A114,Resultat2023!$B$11:$J$400,4,FALSE),"")</f>
        <v>0</v>
      </c>
      <c r="I114" s="146">
        <f ca="1">IFERROR(VLOOKUP($A114,Budsjett2024!$B$11:$J$400,3,FALSE),"")</f>
        <v>0</v>
      </c>
    </row>
    <row r="115" spans="1:9" hidden="1" outlineLevel="1">
      <c r="A115" s="35" t="str">
        <f>"    "&amp;"Pensjon og forsikring Cornerstone"</f>
        <v xml:space="preserve">    Pensjon og forsikring Cornerstone</v>
      </c>
      <c r="B115" s="35"/>
      <c r="C115" s="147">
        <f ca="1">IFERROR(VLOOKUP($A115,Resultat2021!$B$11:$J$400,3,FALSE),"")</f>
        <v>0</v>
      </c>
      <c r="D115" s="147">
        <f ca="1">IFERROR(VLOOKUP($A115,Resultat2021!$B$11:$J$400,4,FALSE),"")</f>
        <v>0</v>
      </c>
      <c r="E115" s="147">
        <f ca="1">IFERROR(VLOOKUP($A115,Resultat2022!$B$11:$J$400,3,FALSE),"")</f>
        <v>0</v>
      </c>
      <c r="F115" s="147">
        <f ca="1">IFERROR(VLOOKUP($A115,Resultat2022!$B$11:$J$400,4,FALSE),"")</f>
        <v>5601</v>
      </c>
      <c r="G115" s="147">
        <f ca="1">IFERROR(VLOOKUP($A115,Resultat2023!$B$11:$J$400,3,FALSE),"")</f>
        <v>0</v>
      </c>
      <c r="H115" s="147">
        <f ca="1">IFERROR(VLOOKUP($A115,Resultat2023!$B$11:$J$400,4,FALSE),"")</f>
        <v>0</v>
      </c>
      <c r="I115" s="147">
        <f ca="1">IFERROR(VLOOKUP($A115,Budsjett2024!$B$11:$J$400,3,FALSE),"")</f>
        <v>0</v>
      </c>
    </row>
    <row r="116" spans="1:9" collapsed="1">
      <c r="A116" s="41" t="s">
        <v>17</v>
      </c>
      <c r="B116" s="133"/>
      <c r="C116" s="148">
        <f ca="1">IFERROR(VLOOKUP($A116,Resultat2021!$B$11:$J$400,3,FALSE),"")</f>
        <v>16251061.949999997</v>
      </c>
      <c r="D116" s="148">
        <f ca="1">IFERROR(VLOOKUP($A116,Resultat2021!$B$11:$J$400,4,FALSE),"")</f>
        <v>17314989.294537999</v>
      </c>
      <c r="E116" s="148">
        <f ca="1">IFERROR(VLOOKUP($A116,Resultat2022!$B$11:$J$400,3,FALSE),"")</f>
        <v>16810976.599999998</v>
      </c>
      <c r="F116" s="148">
        <f ca="1">IFERROR(VLOOKUP($A116,Resultat2022!$B$11:$J$400,4,FALSE),"")</f>
        <v>18039999.982255001</v>
      </c>
      <c r="G116" s="148">
        <f ca="1">IFERROR(VLOOKUP($A116,Resultat2023!$B$11:$J$400,3,FALSE),"")</f>
        <v>19457445.210000001</v>
      </c>
      <c r="H116" s="148">
        <f ca="1">IFERROR(VLOOKUP($A116,Resultat2023!$B$11:$J$400,4,FALSE),"")</f>
        <v>21444998.245138999</v>
      </c>
      <c r="I116" s="148">
        <f ca="1">IFERROR(VLOOKUP($A116,Budsjett2024!$B$11:$J$400,3,FALSE),"")</f>
        <v>22754566.473435</v>
      </c>
    </row>
    <row r="117" spans="1:9" hidden="1" outlineLevel="2">
      <c r="A117" s="28">
        <v>6017</v>
      </c>
      <c r="B117" s="132" t="s">
        <v>141</v>
      </c>
      <c r="C117" s="146">
        <f ca="1">IFERROR(VLOOKUP($A117,Resultat2021!$B$11:$J$400,3,FALSE),"")</f>
        <v>107131.08</v>
      </c>
      <c r="D117" s="146">
        <f ca="1">IFERROR(VLOOKUP($A117,Resultat2021!$B$11:$J$400,4,FALSE),"")</f>
        <v>105000</v>
      </c>
      <c r="E117" s="146">
        <f ca="1">IFERROR(VLOOKUP($A117,Resultat2022!$B$11:$J$400,3,FALSE),"")</f>
        <v>116637.22</v>
      </c>
      <c r="F117" s="146">
        <f ca="1">IFERROR(VLOOKUP($A117,Resultat2022!$B$11:$J$400,4,FALSE),"")</f>
        <v>105000</v>
      </c>
      <c r="G117" s="146">
        <f ca="1">IFERROR(VLOOKUP($A117,Resultat2023!$B$11:$J$400,3,FALSE),"")</f>
        <v>109323.68</v>
      </c>
      <c r="H117" s="146">
        <f ca="1">IFERROR(VLOOKUP($A117,Resultat2023!$B$11:$J$400,4,FALSE),"")</f>
        <v>105000</v>
      </c>
      <c r="I117" s="146">
        <f ca="1">IFERROR(VLOOKUP($A117,Budsjett2024!$B$11:$J$400,3,FALSE),"")</f>
        <v>112618.16</v>
      </c>
    </row>
    <row r="118" spans="1:9" hidden="1" outlineLevel="1">
      <c r="A118" s="35" t="str">
        <f>"    "&amp;"Av- og nedskrivning"</f>
        <v xml:space="preserve">    Av- og nedskrivning</v>
      </c>
      <c r="B118" s="35"/>
      <c r="C118" s="147">
        <f ca="1">IFERROR(VLOOKUP($A118,Resultat2021!$B$11:$J$400,3,FALSE),"")</f>
        <v>107131.08</v>
      </c>
      <c r="D118" s="147">
        <f ca="1">IFERROR(VLOOKUP($A118,Resultat2021!$B$11:$J$400,4,FALSE),"")</f>
        <v>105000</v>
      </c>
      <c r="E118" s="147">
        <f ca="1">IFERROR(VLOOKUP($A118,Resultat2022!$B$11:$J$400,3,FALSE),"")</f>
        <v>116637.22</v>
      </c>
      <c r="F118" s="147">
        <f ca="1">IFERROR(VLOOKUP($A118,Resultat2022!$B$11:$J$400,4,FALSE),"")</f>
        <v>105000</v>
      </c>
      <c r="G118" s="147">
        <f ca="1">IFERROR(VLOOKUP($A118,Resultat2023!$B$11:$J$400,3,FALSE),"")</f>
        <v>109323.68</v>
      </c>
      <c r="H118" s="147">
        <f ca="1">IFERROR(VLOOKUP($A118,Resultat2023!$B$11:$J$400,4,FALSE),"")</f>
        <v>105000</v>
      </c>
      <c r="I118" s="147">
        <f ca="1">IFERROR(VLOOKUP($A118,Budsjett2024!$B$11:$J$400,3,FALSE),"")</f>
        <v>112618.16</v>
      </c>
    </row>
    <row r="119" spans="1:9" hidden="1" outlineLevel="2">
      <c r="A119" s="28">
        <v>6300</v>
      </c>
      <c r="B119" s="132" t="s">
        <v>142</v>
      </c>
      <c r="C119" s="146">
        <f ca="1">IFERROR(VLOOKUP($A119,Resultat2021!$B$11:$J$400,3,FALSE),"")</f>
        <v>629661.38</v>
      </c>
      <c r="D119" s="146">
        <f ca="1">IFERROR(VLOOKUP($A119,Resultat2021!$B$11:$J$400,4,FALSE),"")</f>
        <v>601000</v>
      </c>
      <c r="E119" s="146">
        <f ca="1">IFERROR(VLOOKUP($A119,Resultat2022!$B$11:$J$400,3,FALSE),"")</f>
        <v>681299.55</v>
      </c>
      <c r="F119" s="146">
        <f ca="1">IFERROR(VLOOKUP($A119,Resultat2022!$B$11:$J$400,4,FALSE),"")</f>
        <v>616500</v>
      </c>
      <c r="G119" s="146">
        <f ca="1">IFERROR(VLOOKUP($A119,Resultat2023!$B$11:$J$400,3,FALSE),"")</f>
        <v>587022.43999999994</v>
      </c>
      <c r="H119" s="146">
        <f ca="1">IFERROR(VLOOKUP($A119,Resultat2023!$B$11:$J$400,4,FALSE),"")</f>
        <v>712000</v>
      </c>
      <c r="I119" s="146">
        <f ca="1">IFERROR(VLOOKUP($A119,Budsjett2024!$B$11:$J$400,3,FALSE),"")</f>
        <v>739706.34</v>
      </c>
    </row>
    <row r="120" spans="1:9" hidden="1" outlineLevel="2">
      <c r="A120" s="28">
        <v>6340</v>
      </c>
      <c r="B120" s="132" t="s">
        <v>143</v>
      </c>
      <c r="C120" s="146">
        <f ca="1">IFERROR(VLOOKUP($A120,Resultat2021!$B$11:$J$400,3,FALSE),"")</f>
        <v>0</v>
      </c>
      <c r="D120" s="146">
        <f ca="1">IFERROR(VLOOKUP($A120,Resultat2021!$B$11:$J$400,4,FALSE),"")</f>
        <v>0</v>
      </c>
      <c r="E120" s="146" t="str">
        <f ca="1">IFERROR(VLOOKUP($A120,Resultat2022!$B$11:$J$400,3,FALSE),"")</f>
        <v/>
      </c>
      <c r="F120" s="146" t="str">
        <f ca="1">IFERROR(VLOOKUP($A120,Resultat2022!$B$11:$J$400,4,FALSE),"")</f>
        <v/>
      </c>
      <c r="G120" s="146">
        <f ca="1">IFERROR(VLOOKUP($A120,Resultat2023!$B$11:$J$400,3,FALSE),"")</f>
        <v>99</v>
      </c>
      <c r="H120" s="146">
        <f ca="1">IFERROR(VLOOKUP($A120,Resultat2023!$B$11:$J$400,4,FALSE),"")</f>
        <v>0</v>
      </c>
      <c r="I120" s="146">
        <f ca="1">IFERROR(VLOOKUP($A120,Budsjett2024!$B$11:$J$400,3,FALSE),"")</f>
        <v>0</v>
      </c>
    </row>
    <row r="121" spans="1:9" hidden="1" outlineLevel="2">
      <c r="A121" s="28">
        <v>6360</v>
      </c>
      <c r="B121" s="132" t="s">
        <v>144</v>
      </c>
      <c r="C121" s="146">
        <f ca="1">IFERROR(VLOOKUP($A121,Resultat2021!$B$11:$J$400,3,FALSE),"")</f>
        <v>55173.13</v>
      </c>
      <c r="D121" s="146">
        <f ca="1">IFERROR(VLOOKUP($A121,Resultat2021!$B$11:$J$400,4,FALSE),"")</f>
        <v>47000</v>
      </c>
      <c r="E121" s="146">
        <f ca="1">IFERROR(VLOOKUP($A121,Resultat2022!$B$11:$J$400,3,FALSE),"")</f>
        <v>61357.26</v>
      </c>
      <c r="F121" s="146">
        <f ca="1">IFERROR(VLOOKUP($A121,Resultat2022!$B$11:$J$400,4,FALSE),"")</f>
        <v>45000</v>
      </c>
      <c r="G121" s="146">
        <f ca="1">IFERROR(VLOOKUP($A121,Resultat2023!$B$11:$J$400,3,FALSE),"")</f>
        <v>49015</v>
      </c>
      <c r="H121" s="146">
        <f ca="1">IFERROR(VLOOKUP($A121,Resultat2023!$B$11:$J$400,4,FALSE),"")</f>
        <v>55000</v>
      </c>
      <c r="I121" s="146">
        <f ca="1">IFERROR(VLOOKUP($A121,Budsjett2024!$B$11:$J$400,3,FALSE),"")</f>
        <v>50393</v>
      </c>
    </row>
    <row r="122" spans="1:9" hidden="1" outlineLevel="2">
      <c r="A122" s="28">
        <v>6390</v>
      </c>
      <c r="B122" s="132" t="s">
        <v>145</v>
      </c>
      <c r="C122" s="146">
        <f ca="1">IFERROR(VLOOKUP($A122,Resultat2021!$B$11:$J$400,3,FALSE),"")</f>
        <v>8573.2000000000007</v>
      </c>
      <c r="D122" s="146">
        <f ca="1">IFERROR(VLOOKUP($A122,Resultat2021!$B$11:$J$400,4,FALSE),"")</f>
        <v>0</v>
      </c>
      <c r="E122" s="146">
        <f ca="1">IFERROR(VLOOKUP($A122,Resultat2022!$B$11:$J$400,3,FALSE),"")</f>
        <v>3715</v>
      </c>
      <c r="F122" s="146">
        <f ca="1">IFERROR(VLOOKUP($A122,Resultat2022!$B$11:$J$400,4,FALSE),"")</f>
        <v>0</v>
      </c>
      <c r="G122" s="146">
        <f ca="1">IFERROR(VLOOKUP($A122,Resultat2023!$B$11:$J$400,3,FALSE),"")</f>
        <v>24474.39</v>
      </c>
      <c r="H122" s="146">
        <f ca="1">IFERROR(VLOOKUP($A122,Resultat2023!$B$11:$J$400,4,FALSE),"")</f>
        <v>0</v>
      </c>
      <c r="I122" s="146">
        <f ca="1">IFERROR(VLOOKUP($A122,Budsjett2024!$B$11:$J$400,3,FALSE),"")</f>
        <v>5103.45</v>
      </c>
    </row>
    <row r="123" spans="1:9" hidden="1" outlineLevel="2">
      <c r="A123" s="28">
        <v>6490</v>
      </c>
      <c r="B123" s="132" t="s">
        <v>146</v>
      </c>
      <c r="C123" s="146">
        <f ca="1">IFERROR(VLOOKUP($A123,Resultat2021!$B$11:$J$400,3,FALSE),"")</f>
        <v>26500</v>
      </c>
      <c r="D123" s="146">
        <f ca="1">IFERROR(VLOOKUP($A123,Resultat2021!$B$11:$J$400,4,FALSE),"")</f>
        <v>406500</v>
      </c>
      <c r="E123" s="146">
        <f ca="1">IFERROR(VLOOKUP($A123,Resultat2022!$B$11:$J$400,3,FALSE),"")</f>
        <v>41585</v>
      </c>
      <c r="F123" s="146">
        <f ca="1">IFERROR(VLOOKUP($A123,Resultat2022!$B$11:$J$400,4,FALSE),"")</f>
        <v>1500000</v>
      </c>
      <c r="G123" s="146">
        <f ca="1">IFERROR(VLOOKUP($A123,Resultat2023!$B$11:$J$400,3,FALSE),"")</f>
        <v>51305</v>
      </c>
      <c r="H123" s="146">
        <f ca="1">IFERROR(VLOOKUP($A123,Resultat2023!$B$11:$J$400,4,FALSE),"")</f>
        <v>40000</v>
      </c>
      <c r="I123" s="146">
        <f ca="1">IFERROR(VLOOKUP($A123,Budsjett2024!$B$11:$J$400,3,FALSE),"")</f>
        <v>206500</v>
      </c>
    </row>
    <row r="124" spans="1:9" hidden="1" outlineLevel="1">
      <c r="A124" s="35" t="str">
        <f>"    "&amp;"Kostnad lokaler"</f>
        <v xml:space="preserve">    Kostnad lokaler</v>
      </c>
      <c r="B124" s="35"/>
      <c r="C124" s="147">
        <f ca="1">IFERROR(VLOOKUP($A124,Resultat2021!$B$11:$J$400,3,FALSE),"")</f>
        <v>719907.71</v>
      </c>
      <c r="D124" s="147">
        <f ca="1">IFERROR(VLOOKUP($A124,Resultat2021!$B$11:$J$400,4,FALSE),"")</f>
        <v>1054500</v>
      </c>
      <c r="E124" s="147">
        <f ca="1">IFERROR(VLOOKUP($A124,Resultat2022!$B$11:$J$400,3,FALSE),"")</f>
        <v>787956.81</v>
      </c>
      <c r="F124" s="147">
        <f ca="1">IFERROR(VLOOKUP($A124,Resultat2022!$B$11:$J$400,4,FALSE),"")</f>
        <v>2161500</v>
      </c>
      <c r="G124" s="147">
        <f ca="1">IFERROR(VLOOKUP($A124,Resultat2023!$B$11:$J$400,3,FALSE),"")</f>
        <v>711915.83</v>
      </c>
      <c r="H124" s="147">
        <f ca="1">IFERROR(VLOOKUP($A124,Resultat2023!$B$11:$J$400,4,FALSE),"")</f>
        <v>807000</v>
      </c>
      <c r="I124" s="147">
        <f ca="1">IFERROR(VLOOKUP($A124,Budsjett2024!$B$11:$J$400,3,FALSE),"")</f>
        <v>1001702.7899999999</v>
      </c>
    </row>
    <row r="125" spans="1:9" hidden="1" outlineLevel="2">
      <c r="A125" s="28">
        <v>6405</v>
      </c>
      <c r="B125" s="132" t="s">
        <v>147</v>
      </c>
      <c r="C125" s="146">
        <f ca="1">IFERROR(VLOOKUP($A125,Resultat2021!$B$11:$J$400,3,FALSE),"")</f>
        <v>60096</v>
      </c>
      <c r="D125" s="146">
        <f ca="1">IFERROR(VLOOKUP($A125,Resultat2021!$B$11:$J$400,4,FALSE),"")</f>
        <v>91700</v>
      </c>
      <c r="E125" s="146">
        <f ca="1">IFERROR(VLOOKUP($A125,Resultat2022!$B$11:$J$400,3,FALSE),"")</f>
        <v>317318.53000000003</v>
      </c>
      <c r="F125" s="146">
        <f ca="1">IFERROR(VLOOKUP($A125,Resultat2022!$B$11:$J$400,4,FALSE),"")</f>
        <v>170000</v>
      </c>
      <c r="G125" s="146">
        <f ca="1">IFERROR(VLOOKUP($A125,Resultat2023!$B$11:$J$400,3,FALSE),"")</f>
        <v>437942.25</v>
      </c>
      <c r="H125" s="146">
        <f ca="1">IFERROR(VLOOKUP($A125,Resultat2023!$B$11:$J$400,4,FALSE),"")</f>
        <v>330000</v>
      </c>
      <c r="I125" s="146">
        <f ca="1">IFERROR(VLOOKUP($A125,Budsjett2024!$B$11:$J$400,3,FALSE),"")</f>
        <v>397500</v>
      </c>
    </row>
    <row r="126" spans="1:9" hidden="1" outlineLevel="2">
      <c r="A126" s="28">
        <v>6410</v>
      </c>
      <c r="B126" s="132" t="s">
        <v>148</v>
      </c>
      <c r="C126" s="146">
        <f ca="1">IFERROR(VLOOKUP($A126,Resultat2021!$B$11:$J$400,3,FALSE),"")</f>
        <v>0</v>
      </c>
      <c r="D126" s="146">
        <f ca="1">IFERROR(VLOOKUP($A126,Resultat2021!$B$11:$J$400,4,FALSE),"")</f>
        <v>0</v>
      </c>
      <c r="E126" s="146">
        <f ca="1">IFERROR(VLOOKUP($A126,Resultat2022!$B$11:$J$400,3,FALSE),"")</f>
        <v>6209</v>
      </c>
      <c r="F126" s="146">
        <f ca="1">IFERROR(VLOOKUP($A126,Resultat2022!$B$11:$J$400,4,FALSE),"")</f>
        <v>0</v>
      </c>
      <c r="G126" s="146">
        <f ca="1">IFERROR(VLOOKUP($A126,Resultat2023!$B$11:$J$400,3,FALSE),"")</f>
        <v>7750</v>
      </c>
      <c r="H126" s="146">
        <f ca="1">IFERROR(VLOOKUP($A126,Resultat2023!$B$11:$J$400,4,FALSE),"")</f>
        <v>0</v>
      </c>
      <c r="I126" s="146">
        <f ca="1">IFERROR(VLOOKUP($A126,Budsjett2024!$B$11:$J$400,3,FALSE),"")</f>
        <v>15000</v>
      </c>
    </row>
    <row r="127" spans="1:9" hidden="1" outlineLevel="2">
      <c r="A127" s="28">
        <v>6420</v>
      </c>
      <c r="B127" s="132" t="s">
        <v>149</v>
      </c>
      <c r="C127" s="146">
        <f ca="1">IFERROR(VLOOKUP($A127,Resultat2021!$B$11:$J$400,3,FALSE),"")</f>
        <v>1111885.6000000001</v>
      </c>
      <c r="D127" s="146">
        <f ca="1">IFERROR(VLOOKUP($A127,Resultat2021!$B$11:$J$400,4,FALSE),"")</f>
        <v>1039140</v>
      </c>
      <c r="E127" s="146">
        <f ca="1">IFERROR(VLOOKUP($A127,Resultat2022!$B$11:$J$400,3,FALSE),"")</f>
        <v>1202152.26</v>
      </c>
      <c r="F127" s="146">
        <f ca="1">IFERROR(VLOOKUP($A127,Resultat2022!$B$11:$J$400,4,FALSE),"")</f>
        <v>1178000.01</v>
      </c>
      <c r="G127" s="146">
        <f ca="1">IFERROR(VLOOKUP($A127,Resultat2023!$B$11:$J$400,3,FALSE),"")</f>
        <v>1303783.24</v>
      </c>
      <c r="H127" s="146">
        <f ca="1">IFERROR(VLOOKUP($A127,Resultat2023!$B$11:$J$400,4,FALSE),"")</f>
        <v>1141000.01</v>
      </c>
      <c r="I127" s="146">
        <f ca="1">IFERROR(VLOOKUP($A127,Budsjett2024!$B$11:$J$400,3,FALSE),"")</f>
        <v>1239944.67</v>
      </c>
    </row>
    <row r="128" spans="1:9" hidden="1" outlineLevel="2">
      <c r="A128" s="28">
        <v>6421</v>
      </c>
      <c r="B128" s="132" t="s">
        <v>150</v>
      </c>
      <c r="C128" s="146">
        <f ca="1">IFERROR(VLOOKUP($A128,Resultat2021!$B$11:$J$400,3,FALSE),"")</f>
        <v>3577.2</v>
      </c>
      <c r="D128" s="146">
        <f ca="1">IFERROR(VLOOKUP($A128,Resultat2021!$B$11:$J$400,4,FALSE),"")</f>
        <v>0</v>
      </c>
      <c r="E128" s="146">
        <f ca="1">IFERROR(VLOOKUP($A128,Resultat2022!$B$11:$J$400,3,FALSE),"")</f>
        <v>13611.5</v>
      </c>
      <c r="F128" s="146">
        <f ca="1">IFERROR(VLOOKUP($A128,Resultat2022!$B$11:$J$400,4,FALSE),"")</f>
        <v>0</v>
      </c>
      <c r="G128" s="146">
        <f ca="1">IFERROR(VLOOKUP($A128,Resultat2023!$B$11:$J$400,3,FALSE),"")</f>
        <v>617.62</v>
      </c>
      <c r="H128" s="146">
        <f ca="1">IFERROR(VLOOKUP($A128,Resultat2023!$B$11:$J$400,4,FALSE),"")</f>
        <v>0</v>
      </c>
      <c r="I128" s="146">
        <f ca="1">IFERROR(VLOOKUP($A128,Budsjett2024!$B$11:$J$400,3,FALSE),"")</f>
        <v>617.62</v>
      </c>
    </row>
    <row r="129" spans="1:9" hidden="1" outlineLevel="2">
      <c r="A129" s="28">
        <v>6430</v>
      </c>
      <c r="B129" s="132" t="s">
        <v>151</v>
      </c>
      <c r="C129" s="146">
        <f ca="1">IFERROR(VLOOKUP($A129,Resultat2021!$B$11:$J$400,3,FALSE),"")</f>
        <v>55085.1</v>
      </c>
      <c r="D129" s="146">
        <f ca="1">IFERROR(VLOOKUP($A129,Resultat2021!$B$11:$J$400,4,FALSE),"")</f>
        <v>18000</v>
      </c>
      <c r="E129" s="146">
        <f ca="1">IFERROR(VLOOKUP($A129,Resultat2022!$B$11:$J$400,3,FALSE),"")</f>
        <v>30597.24</v>
      </c>
      <c r="F129" s="146">
        <f ca="1">IFERROR(VLOOKUP($A129,Resultat2022!$B$11:$J$400,4,FALSE),"")</f>
        <v>5000</v>
      </c>
      <c r="G129" s="146">
        <f ca="1">IFERROR(VLOOKUP($A129,Resultat2023!$B$11:$J$400,3,FALSE),"")</f>
        <v>21729.89</v>
      </c>
      <c r="H129" s="146">
        <f ca="1">IFERROR(VLOOKUP($A129,Resultat2023!$B$11:$J$400,4,FALSE),"")</f>
        <v>5000</v>
      </c>
      <c r="I129" s="146">
        <f ca="1">IFERROR(VLOOKUP($A129,Budsjett2024!$B$11:$J$400,3,FALSE),"")</f>
        <v>17746.650000000001</v>
      </c>
    </row>
    <row r="130" spans="1:9" hidden="1" outlineLevel="1">
      <c r="A130" s="35" t="str">
        <f>"    "&amp;"Leie maskiner, inventar o.l."</f>
        <v xml:space="preserve">    Leie maskiner, inventar o.l.</v>
      </c>
      <c r="B130" s="35"/>
      <c r="C130" s="147">
        <f ca="1">IFERROR(VLOOKUP($A130,Resultat2021!$B$11:$J$400,3,FALSE),"")</f>
        <v>1230643.9000000001</v>
      </c>
      <c r="D130" s="147">
        <f ca="1">IFERROR(VLOOKUP($A130,Resultat2021!$B$11:$J$400,4,FALSE),"")</f>
        <v>1148840</v>
      </c>
      <c r="E130" s="147">
        <f ca="1">IFERROR(VLOOKUP($A130,Resultat2022!$B$11:$J$400,3,FALSE),"")</f>
        <v>1569888.53</v>
      </c>
      <c r="F130" s="147">
        <f ca="1">IFERROR(VLOOKUP($A130,Resultat2022!$B$11:$J$400,4,FALSE),"")</f>
        <v>1353000.01</v>
      </c>
      <c r="G130" s="147">
        <f ca="1">IFERROR(VLOOKUP($A130,Resultat2023!$B$11:$J$400,3,FALSE),"")</f>
        <v>1771823</v>
      </c>
      <c r="H130" s="147">
        <f ca="1">IFERROR(VLOOKUP($A130,Resultat2023!$B$11:$J$400,4,FALSE),"")</f>
        <v>1476000.01</v>
      </c>
      <c r="I130" s="147">
        <f ca="1">IFERROR(VLOOKUP($A130,Budsjett2024!$B$11:$J$400,3,FALSE),"")</f>
        <v>1670808.94</v>
      </c>
    </row>
    <row r="131" spans="1:9" hidden="1" outlineLevel="2">
      <c r="A131" s="28">
        <v>6540</v>
      </c>
      <c r="B131" s="132" t="s">
        <v>152</v>
      </c>
      <c r="C131" s="146">
        <f ca="1">IFERROR(VLOOKUP($A131,Resultat2021!$B$11:$J$400,3,FALSE),"")</f>
        <v>19838.400000000001</v>
      </c>
      <c r="D131" s="146">
        <f ca="1">IFERROR(VLOOKUP($A131,Resultat2021!$B$11:$J$400,4,FALSE),"")</f>
        <v>0</v>
      </c>
      <c r="E131" s="146">
        <f ca="1">IFERROR(VLOOKUP($A131,Resultat2022!$B$11:$J$400,3,FALSE),"")</f>
        <v>11779.1</v>
      </c>
      <c r="F131" s="146">
        <f ca="1">IFERROR(VLOOKUP($A131,Resultat2022!$B$11:$J$400,4,FALSE),"")</f>
        <v>0</v>
      </c>
      <c r="G131" s="146">
        <f ca="1">IFERROR(VLOOKUP($A131,Resultat2023!$B$11:$J$400,3,FALSE),"")</f>
        <v>47197.9</v>
      </c>
      <c r="H131" s="146">
        <f ca="1">IFERROR(VLOOKUP($A131,Resultat2023!$B$11:$J$400,4,FALSE),"")</f>
        <v>0</v>
      </c>
      <c r="I131" s="146">
        <f ca="1">IFERROR(VLOOKUP($A131,Budsjett2024!$B$11:$J$400,3,FALSE),"")</f>
        <v>2309.6999999999998</v>
      </c>
    </row>
    <row r="132" spans="1:9" hidden="1" outlineLevel="2">
      <c r="A132" s="28">
        <v>6550</v>
      </c>
      <c r="B132" s="132" t="s">
        <v>153</v>
      </c>
      <c r="C132" s="146">
        <f ca="1">IFERROR(VLOOKUP($A132,Resultat2021!$B$11:$J$400,3,FALSE),"")</f>
        <v>51188.88</v>
      </c>
      <c r="D132" s="146">
        <f ca="1">IFERROR(VLOOKUP($A132,Resultat2021!$B$11:$J$400,4,FALSE),"")</f>
        <v>11500</v>
      </c>
      <c r="E132" s="146">
        <f ca="1">IFERROR(VLOOKUP($A132,Resultat2022!$B$11:$J$400,3,FALSE),"")</f>
        <v>99957.78</v>
      </c>
      <c r="F132" s="146">
        <f ca="1">IFERROR(VLOOKUP($A132,Resultat2022!$B$11:$J$400,4,FALSE),"")</f>
        <v>11500</v>
      </c>
      <c r="G132" s="146">
        <f ca="1">IFERROR(VLOOKUP($A132,Resultat2023!$B$11:$J$400,3,FALSE),"")</f>
        <v>105703.22</v>
      </c>
      <c r="H132" s="146">
        <f ca="1">IFERROR(VLOOKUP($A132,Resultat2023!$B$11:$J$400,4,FALSE),"")</f>
        <v>11500</v>
      </c>
      <c r="I132" s="146">
        <f ca="1">IFERROR(VLOOKUP($A132,Budsjett2024!$B$11:$J$400,3,FALSE),"")</f>
        <v>73810.789999999994</v>
      </c>
    </row>
    <row r="133" spans="1:9" hidden="1" outlineLevel="2">
      <c r="A133" s="28">
        <v>6551</v>
      </c>
      <c r="B133" s="132" t="s">
        <v>154</v>
      </c>
      <c r="C133" s="146">
        <f ca="1">IFERROR(VLOOKUP($A133,Resultat2021!$B$11:$J$400,3,FALSE),"")</f>
        <v>96527</v>
      </c>
      <c r="D133" s="146">
        <f ca="1">IFERROR(VLOOKUP($A133,Resultat2021!$B$11:$J$400,4,FALSE),"")</f>
        <v>79600</v>
      </c>
      <c r="E133" s="146">
        <f ca="1">IFERROR(VLOOKUP($A133,Resultat2022!$B$11:$J$400,3,FALSE),"")</f>
        <v>176465.23</v>
      </c>
      <c r="F133" s="146">
        <f ca="1">IFERROR(VLOOKUP($A133,Resultat2022!$B$11:$J$400,4,FALSE),"")</f>
        <v>99200</v>
      </c>
      <c r="G133" s="146">
        <f ca="1">IFERROR(VLOOKUP($A133,Resultat2023!$B$11:$J$400,3,FALSE),"")</f>
        <v>153905.24</v>
      </c>
      <c r="H133" s="146">
        <f ca="1">IFERROR(VLOOKUP($A133,Resultat2023!$B$11:$J$400,4,FALSE),"")</f>
        <v>106200</v>
      </c>
      <c r="I133" s="146">
        <f ca="1">IFERROR(VLOOKUP($A133,Budsjett2024!$B$11:$J$400,3,FALSE),"")</f>
        <v>101027.88</v>
      </c>
    </row>
    <row r="134" spans="1:9" hidden="1" outlineLevel="2">
      <c r="A134" s="28">
        <v>6590</v>
      </c>
      <c r="B134" s="132" t="s">
        <v>155</v>
      </c>
      <c r="C134" s="146">
        <f ca="1">IFERROR(VLOOKUP($A134,Resultat2021!$B$11:$J$400,3,FALSE),"")</f>
        <v>12745</v>
      </c>
      <c r="D134" s="146">
        <f ca="1">IFERROR(VLOOKUP($A134,Resultat2021!$B$11:$J$400,4,FALSE),"")</f>
        <v>30000</v>
      </c>
      <c r="E134" s="146">
        <f ca="1">IFERROR(VLOOKUP($A134,Resultat2022!$B$11:$J$400,3,FALSE),"")</f>
        <v>0</v>
      </c>
      <c r="F134" s="146">
        <f ca="1">IFERROR(VLOOKUP($A134,Resultat2022!$B$11:$J$400,4,FALSE),"")</f>
        <v>20000</v>
      </c>
      <c r="G134" s="146">
        <f ca="1">IFERROR(VLOOKUP($A134,Resultat2023!$B$11:$J$400,3,FALSE),"")</f>
        <v>676</v>
      </c>
      <c r="H134" s="146">
        <f ca="1">IFERROR(VLOOKUP($A134,Resultat2023!$B$11:$J$400,4,FALSE),"")</f>
        <v>20000</v>
      </c>
      <c r="I134" s="146">
        <f ca="1">IFERROR(VLOOKUP($A134,Budsjett2024!$B$11:$J$400,3,FALSE),"")</f>
        <v>6640</v>
      </c>
    </row>
    <row r="135" spans="1:9" hidden="1" outlineLevel="1">
      <c r="A135" s="35" t="str">
        <f>"    "&amp;"Verktøy, inventar og driftsmateriell"</f>
        <v xml:space="preserve">    Verktøy, inventar og driftsmateriell</v>
      </c>
      <c r="B135" s="35"/>
      <c r="C135" s="147">
        <f ca="1">IFERROR(VLOOKUP($A135,Resultat2021!$B$11:$J$400,3,FALSE),"")</f>
        <v>180299.28</v>
      </c>
      <c r="D135" s="147">
        <f ca="1">IFERROR(VLOOKUP($A135,Resultat2021!$B$11:$J$400,4,FALSE),"")</f>
        <v>121100</v>
      </c>
      <c r="E135" s="147">
        <f ca="1">IFERROR(VLOOKUP($A135,Resultat2022!$B$11:$J$400,3,FALSE),"")</f>
        <v>288202.11</v>
      </c>
      <c r="F135" s="147">
        <f ca="1">IFERROR(VLOOKUP($A135,Resultat2022!$B$11:$J$400,4,FALSE),"")</f>
        <v>130700</v>
      </c>
      <c r="G135" s="147">
        <f ca="1">IFERROR(VLOOKUP($A135,Resultat2023!$B$11:$J$400,3,FALSE),"")</f>
        <v>307482.36</v>
      </c>
      <c r="H135" s="147">
        <f ca="1">IFERROR(VLOOKUP($A135,Resultat2023!$B$11:$J$400,4,FALSE),"")</f>
        <v>137700</v>
      </c>
      <c r="I135" s="147">
        <f ca="1">IFERROR(VLOOKUP($A135,Budsjett2024!$B$11:$J$400,3,FALSE),"")</f>
        <v>183788.37</v>
      </c>
    </row>
    <row r="136" spans="1:9" hidden="1" outlineLevel="2">
      <c r="A136" s="28">
        <v>6701</v>
      </c>
      <c r="B136" s="132" t="s">
        <v>156</v>
      </c>
      <c r="C136" s="146">
        <f ca="1">IFERROR(VLOOKUP($A136,Resultat2021!$B$11:$J$400,3,FALSE),"")</f>
        <v>233066.88</v>
      </c>
      <c r="D136" s="146">
        <f ca="1">IFERROR(VLOOKUP($A136,Resultat2021!$B$11:$J$400,4,FALSE),"")</f>
        <v>250000</v>
      </c>
      <c r="E136" s="146">
        <f ca="1">IFERROR(VLOOKUP($A136,Resultat2022!$B$11:$J$400,3,FALSE),"")</f>
        <v>234742.15</v>
      </c>
      <c r="F136" s="146">
        <f ca="1">IFERROR(VLOOKUP($A136,Resultat2022!$B$11:$J$400,4,FALSE),"")</f>
        <v>250000</v>
      </c>
      <c r="G136" s="146">
        <f ca="1">IFERROR(VLOOKUP($A136,Resultat2023!$B$11:$J$400,3,FALSE),"")</f>
        <v>302562.5</v>
      </c>
      <c r="H136" s="146">
        <f ca="1">IFERROR(VLOOKUP($A136,Resultat2023!$B$11:$J$400,4,FALSE),"")</f>
        <v>250000</v>
      </c>
      <c r="I136" s="146">
        <f ca="1">IFERROR(VLOOKUP($A136,Budsjett2024!$B$11:$J$400,3,FALSE),"")</f>
        <v>246386.25</v>
      </c>
    </row>
    <row r="137" spans="1:9" hidden="1" outlineLevel="2">
      <c r="A137" s="28">
        <v>6705</v>
      </c>
      <c r="B137" s="132" t="s">
        <v>157</v>
      </c>
      <c r="C137" s="146">
        <f ca="1">IFERROR(VLOOKUP($A137,Resultat2021!$B$11:$J$400,3,FALSE),"")</f>
        <v>876514.07</v>
      </c>
      <c r="D137" s="146">
        <f ca="1">IFERROR(VLOOKUP($A137,Resultat2021!$B$11:$J$400,4,FALSE),"")</f>
        <v>1035000</v>
      </c>
      <c r="E137" s="146">
        <f ca="1">IFERROR(VLOOKUP($A137,Resultat2022!$B$11:$J$400,3,FALSE),"")</f>
        <v>910725.74</v>
      </c>
      <c r="F137" s="146">
        <f ca="1">IFERROR(VLOOKUP($A137,Resultat2022!$B$11:$J$400,4,FALSE),"")</f>
        <v>1035000</v>
      </c>
      <c r="G137" s="146">
        <f ca="1">IFERROR(VLOOKUP($A137,Resultat2023!$B$11:$J$400,3,FALSE),"")</f>
        <v>1009597</v>
      </c>
      <c r="H137" s="146">
        <f ca="1">IFERROR(VLOOKUP($A137,Resultat2023!$B$11:$J$400,4,FALSE),"")</f>
        <v>1000000</v>
      </c>
      <c r="I137" s="146">
        <f ca="1">IFERROR(VLOOKUP($A137,Budsjett2024!$B$11:$J$400,3,FALSE),"")</f>
        <v>959784</v>
      </c>
    </row>
    <row r="138" spans="1:9" hidden="1" outlineLevel="2">
      <c r="A138" s="28">
        <v>6790</v>
      </c>
      <c r="B138" s="132" t="s">
        <v>158</v>
      </c>
      <c r="C138" s="146">
        <f ca="1">IFERROR(VLOOKUP($A138,Resultat2021!$B$11:$J$400,3,FALSE),"")</f>
        <v>488218.27</v>
      </c>
      <c r="D138" s="146">
        <f ca="1">IFERROR(VLOOKUP($A138,Resultat2021!$B$11:$J$400,4,FALSE),"")</f>
        <v>797000</v>
      </c>
      <c r="E138" s="146">
        <f ca="1">IFERROR(VLOOKUP($A138,Resultat2022!$B$11:$J$400,3,FALSE),"")</f>
        <v>658151.79</v>
      </c>
      <c r="F138" s="146">
        <f ca="1">IFERROR(VLOOKUP($A138,Resultat2022!$B$11:$J$400,4,FALSE),"")</f>
        <v>1091000</v>
      </c>
      <c r="G138" s="146">
        <f ca="1">IFERROR(VLOOKUP($A138,Resultat2023!$B$11:$J$400,3,FALSE),"")</f>
        <v>823043.62</v>
      </c>
      <c r="H138" s="146">
        <f ca="1">IFERROR(VLOOKUP($A138,Resultat2023!$B$11:$J$400,4,FALSE),"")</f>
        <v>632000</v>
      </c>
      <c r="I138" s="146">
        <f ca="1">IFERROR(VLOOKUP($A138,Budsjett2024!$B$11:$J$400,3,FALSE),"")</f>
        <v>772084.38</v>
      </c>
    </row>
    <row r="139" spans="1:9" hidden="1" outlineLevel="2">
      <c r="A139" s="28">
        <v>6792</v>
      </c>
      <c r="B139" s="132" t="s">
        <v>159</v>
      </c>
      <c r="C139" s="146">
        <f ca="1">IFERROR(VLOOKUP($A139,Resultat2021!$B$11:$J$400,3,FALSE),"")</f>
        <v>0</v>
      </c>
      <c r="D139" s="146">
        <f ca="1">IFERROR(VLOOKUP($A139,Resultat2021!$B$11:$J$400,4,FALSE),"")</f>
        <v>0</v>
      </c>
      <c r="E139" s="146">
        <f ca="1">IFERROR(VLOOKUP($A139,Resultat2022!$B$11:$J$400,3,FALSE),"")</f>
        <v>0</v>
      </c>
      <c r="F139" s="146">
        <f ca="1">IFERROR(VLOOKUP($A139,Resultat2022!$B$11:$J$400,4,FALSE),"")</f>
        <v>10000</v>
      </c>
      <c r="G139" s="146">
        <f ca="1">IFERROR(VLOOKUP($A139,Resultat2023!$B$11:$J$400,3,FALSE),"")</f>
        <v>0</v>
      </c>
      <c r="H139" s="146">
        <f ca="1">IFERROR(VLOOKUP($A139,Resultat2023!$B$11:$J$400,4,FALSE),"")</f>
        <v>25000</v>
      </c>
      <c r="I139" s="146">
        <f ca="1">IFERROR(VLOOKUP($A139,Budsjett2024!$B$11:$J$400,3,FALSE),"")</f>
        <v>210000</v>
      </c>
    </row>
    <row r="140" spans="1:9" hidden="1" outlineLevel="1">
      <c r="A140" s="35" t="str">
        <f>"    "&amp;"Fremmed tjeneste"</f>
        <v xml:space="preserve">    Fremmed tjeneste</v>
      </c>
      <c r="B140" s="35"/>
      <c r="C140" s="147">
        <f ca="1">IFERROR(VLOOKUP($A140,Resultat2021!$B$11:$J$400,3,FALSE),"")</f>
        <v>1597799.22</v>
      </c>
      <c r="D140" s="147">
        <f ca="1">IFERROR(VLOOKUP($A140,Resultat2021!$B$11:$J$400,4,FALSE),"")</f>
        <v>2082000</v>
      </c>
      <c r="E140" s="147">
        <f ca="1">IFERROR(VLOOKUP($A140,Resultat2022!$B$11:$J$400,3,FALSE),"")</f>
        <v>1803619.68</v>
      </c>
      <c r="F140" s="147">
        <f ca="1">IFERROR(VLOOKUP($A140,Resultat2022!$B$11:$J$400,4,FALSE),"")</f>
        <v>2386000</v>
      </c>
      <c r="G140" s="147">
        <f ca="1">IFERROR(VLOOKUP($A140,Resultat2023!$B$11:$J$400,3,FALSE),"")</f>
        <v>2135203.12</v>
      </c>
      <c r="H140" s="147">
        <f ca="1">IFERROR(VLOOKUP($A140,Resultat2023!$B$11:$J$400,4,FALSE),"")</f>
        <v>1907000</v>
      </c>
      <c r="I140" s="147">
        <f ca="1">IFERROR(VLOOKUP($A140,Budsjett2024!$B$11:$J$400,3,FALSE),"")</f>
        <v>2188254.63</v>
      </c>
    </row>
    <row r="141" spans="1:9" hidden="1" outlineLevel="2">
      <c r="A141" s="28">
        <v>6800</v>
      </c>
      <c r="B141" s="132" t="s">
        <v>160</v>
      </c>
      <c r="C141" s="146">
        <f ca="1">IFERROR(VLOOKUP($A141,Resultat2021!$B$11:$J$400,3,FALSE),"")</f>
        <v>32660.06</v>
      </c>
      <c r="D141" s="146">
        <f ca="1">IFERROR(VLOOKUP($A141,Resultat2021!$B$11:$J$400,4,FALSE),"")</f>
        <v>23000</v>
      </c>
      <c r="E141" s="146">
        <f ca="1">IFERROR(VLOOKUP($A141,Resultat2022!$B$11:$J$400,3,FALSE),"")</f>
        <v>36993.129999999997</v>
      </c>
      <c r="F141" s="146">
        <f ca="1">IFERROR(VLOOKUP($A141,Resultat2022!$B$11:$J$400,4,FALSE),"")</f>
        <v>21000</v>
      </c>
      <c r="G141" s="146">
        <f ca="1">IFERROR(VLOOKUP($A141,Resultat2023!$B$11:$J$400,3,FALSE),"")</f>
        <v>25188.11</v>
      </c>
      <c r="H141" s="146">
        <f ca="1">IFERROR(VLOOKUP($A141,Resultat2023!$B$11:$J$400,4,FALSE),"")</f>
        <v>21000</v>
      </c>
      <c r="I141" s="146">
        <f ca="1">IFERROR(VLOOKUP($A141,Budsjett2024!$B$11:$J$400,3,FALSE),"")</f>
        <v>22225.55</v>
      </c>
    </row>
    <row r="142" spans="1:9" hidden="1" outlineLevel="2">
      <c r="A142" s="28">
        <v>6820</v>
      </c>
      <c r="B142" s="132" t="s">
        <v>161</v>
      </c>
      <c r="C142" s="146">
        <f ca="1">IFERROR(VLOOKUP($A142,Resultat2021!$B$11:$J$400,3,FALSE),"")</f>
        <v>17102.25</v>
      </c>
      <c r="D142" s="146">
        <f ca="1">IFERROR(VLOOKUP($A142,Resultat2021!$B$11:$J$400,4,FALSE),"")</f>
        <v>170000</v>
      </c>
      <c r="E142" s="146">
        <f ca="1">IFERROR(VLOOKUP($A142,Resultat2022!$B$11:$J$400,3,FALSE),"")</f>
        <v>229451.63</v>
      </c>
      <c r="F142" s="146">
        <f ca="1">IFERROR(VLOOKUP($A142,Resultat2022!$B$11:$J$400,4,FALSE),"")</f>
        <v>80000</v>
      </c>
      <c r="G142" s="146">
        <f ca="1">IFERROR(VLOOKUP($A142,Resultat2023!$B$11:$J$400,3,FALSE),"")</f>
        <v>92695.679999999993</v>
      </c>
      <c r="H142" s="146">
        <f ca="1">IFERROR(VLOOKUP($A142,Resultat2023!$B$11:$J$400,4,FALSE),"")</f>
        <v>140000</v>
      </c>
      <c r="I142" s="146">
        <f ca="1">IFERROR(VLOOKUP($A142,Budsjett2024!$B$11:$J$400,3,FALSE),"")</f>
        <v>115872.5</v>
      </c>
    </row>
    <row r="143" spans="1:9" hidden="1" outlineLevel="2">
      <c r="A143" s="28">
        <v>6840</v>
      </c>
      <c r="B143" s="132" t="s">
        <v>162</v>
      </c>
      <c r="C143" s="146">
        <f ca="1">IFERROR(VLOOKUP($A143,Resultat2021!$B$11:$J$400,3,FALSE),"")</f>
        <v>36602.28</v>
      </c>
      <c r="D143" s="146">
        <f ca="1">IFERROR(VLOOKUP($A143,Resultat2021!$B$11:$J$400,4,FALSE),"")</f>
        <v>34000</v>
      </c>
      <c r="E143" s="146">
        <f ca="1">IFERROR(VLOOKUP($A143,Resultat2022!$B$11:$J$400,3,FALSE),"")</f>
        <v>30538.1</v>
      </c>
      <c r="F143" s="146">
        <f ca="1">IFERROR(VLOOKUP($A143,Resultat2022!$B$11:$J$400,4,FALSE),"")</f>
        <v>43700</v>
      </c>
      <c r="G143" s="146">
        <f ca="1">IFERROR(VLOOKUP($A143,Resultat2023!$B$11:$J$400,3,FALSE),"")</f>
        <v>34314.620000000003</v>
      </c>
      <c r="H143" s="146">
        <f ca="1">IFERROR(VLOOKUP($A143,Resultat2023!$B$11:$J$400,4,FALSE),"")</f>
        <v>49200</v>
      </c>
      <c r="I143" s="146">
        <f ca="1">IFERROR(VLOOKUP($A143,Budsjett2024!$B$11:$J$400,3,FALSE),"")</f>
        <v>57744.22</v>
      </c>
    </row>
    <row r="144" spans="1:9" hidden="1" outlineLevel="2">
      <c r="A144" s="28">
        <v>6842</v>
      </c>
      <c r="B144" s="132" t="s">
        <v>163</v>
      </c>
      <c r="C144" s="146">
        <f ca="1">IFERROR(VLOOKUP($A144,Resultat2021!$B$11:$J$400,3,FALSE),"")</f>
        <v>0</v>
      </c>
      <c r="D144" s="146">
        <f ca="1">IFERROR(VLOOKUP($A144,Resultat2021!$B$11:$J$400,4,FALSE),"")</f>
        <v>39520</v>
      </c>
      <c r="E144" s="146" t="str">
        <f ca="1">IFERROR(VLOOKUP($A144,Resultat2022!$B$11:$J$400,3,FALSE),"")</f>
        <v/>
      </c>
      <c r="F144" s="146" t="str">
        <f ca="1">IFERROR(VLOOKUP($A144,Resultat2022!$B$11:$J$400,4,FALSE),"")</f>
        <v/>
      </c>
      <c r="G144" s="146">
        <f ca="1">IFERROR(VLOOKUP($A144,Resultat2023!$B$11:$J$400,3,FALSE),"")</f>
        <v>1196</v>
      </c>
      <c r="H144" s="146">
        <f ca="1">IFERROR(VLOOKUP($A144,Resultat2023!$B$11:$J$400,4,FALSE),"")</f>
        <v>0</v>
      </c>
      <c r="I144" s="146">
        <f ca="1">IFERROR(VLOOKUP($A144,Budsjett2024!$B$11:$J$400,3,FALSE),"")</f>
        <v>2097</v>
      </c>
    </row>
    <row r="145" spans="1:9" hidden="1" outlineLevel="2">
      <c r="A145" s="28">
        <v>6860</v>
      </c>
      <c r="B145" s="132" t="s">
        <v>164</v>
      </c>
      <c r="C145" s="146">
        <f ca="1">IFERROR(VLOOKUP($A145,Resultat2021!$B$11:$J$400,3,FALSE),"")</f>
        <v>77058.8</v>
      </c>
      <c r="D145" s="146">
        <f ca="1">IFERROR(VLOOKUP($A145,Resultat2021!$B$11:$J$400,4,FALSE),"")</f>
        <v>400000</v>
      </c>
      <c r="E145" s="146">
        <f ca="1">IFERROR(VLOOKUP($A145,Resultat2022!$B$11:$J$400,3,FALSE),"")</f>
        <v>257944.54</v>
      </c>
      <c r="F145" s="146">
        <f ca="1">IFERROR(VLOOKUP($A145,Resultat2022!$B$11:$J$400,4,FALSE),"")</f>
        <v>635000</v>
      </c>
      <c r="G145" s="146">
        <f ca="1">IFERROR(VLOOKUP($A145,Resultat2023!$B$11:$J$400,3,FALSE),"")</f>
        <v>228517.44</v>
      </c>
      <c r="H145" s="146">
        <f ca="1">IFERROR(VLOOKUP($A145,Resultat2023!$B$11:$J$400,4,FALSE),"")</f>
        <v>614600</v>
      </c>
      <c r="I145" s="146">
        <f ca="1">IFERROR(VLOOKUP($A145,Budsjett2024!$B$11:$J$400,3,FALSE),"")</f>
        <v>998868.07</v>
      </c>
    </row>
    <row r="146" spans="1:9" hidden="1" outlineLevel="2">
      <c r="A146" s="28">
        <v>6870</v>
      </c>
      <c r="B146" s="132" t="s">
        <v>165</v>
      </c>
      <c r="C146" s="146">
        <f ca="1">IFERROR(VLOOKUP($A146,Resultat2021!$B$11:$J$400,3,FALSE),"")</f>
        <v>10316.709999999999</v>
      </c>
      <c r="D146" s="146">
        <f ca="1">IFERROR(VLOOKUP($A146,Resultat2021!$B$11:$J$400,4,FALSE),"")</f>
        <v>10000</v>
      </c>
      <c r="E146" s="146">
        <f ca="1">IFERROR(VLOOKUP($A146,Resultat2022!$B$11:$J$400,3,FALSE),"")</f>
        <v>8376.0300000000007</v>
      </c>
      <c r="F146" s="146">
        <f ca="1">IFERROR(VLOOKUP($A146,Resultat2022!$B$11:$J$400,4,FALSE),"")</f>
        <v>6000</v>
      </c>
      <c r="G146" s="146">
        <f ca="1">IFERROR(VLOOKUP($A146,Resultat2023!$B$11:$J$400,3,FALSE),"")</f>
        <v>4025.25</v>
      </c>
      <c r="H146" s="146">
        <f ca="1">IFERROR(VLOOKUP($A146,Resultat2023!$B$11:$J$400,4,FALSE),"")</f>
        <v>40000</v>
      </c>
      <c r="I146" s="146">
        <f ca="1">IFERROR(VLOOKUP($A146,Budsjett2024!$B$11:$J$400,3,FALSE),"")</f>
        <v>23542.99</v>
      </c>
    </row>
    <row r="147" spans="1:9" hidden="1" outlineLevel="2">
      <c r="A147" s="28">
        <v>6890</v>
      </c>
      <c r="B147" s="132" t="s">
        <v>166</v>
      </c>
      <c r="C147" s="146">
        <f ca="1">IFERROR(VLOOKUP($A147,Resultat2021!$B$11:$J$400,3,FALSE),"")</f>
        <v>46995.06</v>
      </c>
      <c r="D147" s="146">
        <f ca="1">IFERROR(VLOOKUP($A147,Resultat2021!$B$11:$J$400,4,FALSE),"")</f>
        <v>22000</v>
      </c>
      <c r="E147" s="146">
        <f ca="1">IFERROR(VLOOKUP($A147,Resultat2022!$B$11:$J$400,3,FALSE),"")</f>
        <v>69053.77</v>
      </c>
      <c r="F147" s="146">
        <f ca="1">IFERROR(VLOOKUP($A147,Resultat2022!$B$11:$J$400,4,FALSE),"")</f>
        <v>20000</v>
      </c>
      <c r="G147" s="146">
        <f ca="1">IFERROR(VLOOKUP($A147,Resultat2023!$B$11:$J$400,3,FALSE),"")</f>
        <v>35679.480000000003</v>
      </c>
      <c r="H147" s="146">
        <f ca="1">IFERROR(VLOOKUP($A147,Resultat2023!$B$11:$J$400,4,FALSE),"")</f>
        <v>30000</v>
      </c>
      <c r="I147" s="146">
        <f ca="1">IFERROR(VLOOKUP($A147,Budsjett2024!$B$11:$J$400,3,FALSE),"")</f>
        <v>14930.19</v>
      </c>
    </row>
    <row r="148" spans="1:9" hidden="1" outlineLevel="1">
      <c r="A148" s="35" t="str">
        <f>"    "&amp;"Kontor, oppdatering o.l."</f>
        <v xml:space="preserve">    Kontor, oppdatering o.l.</v>
      </c>
      <c r="B148" s="35"/>
      <c r="C148" s="147">
        <f ca="1">IFERROR(VLOOKUP($A148,Resultat2021!$B$11:$J$400,3,FALSE),"")</f>
        <v>220735.16</v>
      </c>
      <c r="D148" s="147">
        <f ca="1">IFERROR(VLOOKUP($A148,Resultat2021!$B$11:$J$400,4,FALSE),"")</f>
        <v>698520</v>
      </c>
      <c r="E148" s="147">
        <f ca="1">IFERROR(VLOOKUP($A148,Resultat2022!$B$11:$J$400,3,FALSE),"")</f>
        <v>632357.20000000007</v>
      </c>
      <c r="F148" s="147">
        <f ca="1">IFERROR(VLOOKUP($A148,Resultat2022!$B$11:$J$400,4,FALSE),"")</f>
        <v>805700</v>
      </c>
      <c r="G148" s="147">
        <f ca="1">IFERROR(VLOOKUP($A148,Resultat2023!$B$11:$J$400,3,FALSE),"")</f>
        <v>421616.57999999996</v>
      </c>
      <c r="H148" s="147">
        <f ca="1">IFERROR(VLOOKUP($A148,Resultat2023!$B$11:$J$400,4,FALSE),"")</f>
        <v>894800</v>
      </c>
      <c r="I148" s="147">
        <f ca="1">IFERROR(VLOOKUP($A148,Budsjett2024!$B$11:$J$400,3,FALSE),"")</f>
        <v>1235280.5199999998</v>
      </c>
    </row>
    <row r="149" spans="1:9" hidden="1" outlineLevel="2">
      <c r="A149" s="28">
        <v>6900</v>
      </c>
      <c r="B149" s="132" t="s">
        <v>167</v>
      </c>
      <c r="C149" s="146">
        <f ca="1">IFERROR(VLOOKUP($A149,Resultat2021!$B$11:$J$400,3,FALSE),"")</f>
        <v>53434.94</v>
      </c>
      <c r="D149" s="146">
        <f ca="1">IFERROR(VLOOKUP($A149,Resultat2021!$B$11:$J$400,4,FALSE),"")</f>
        <v>55200</v>
      </c>
      <c r="E149" s="146">
        <f ca="1">IFERROR(VLOOKUP($A149,Resultat2022!$B$11:$J$400,3,FALSE),"")</f>
        <v>73278.880000000005</v>
      </c>
      <c r="F149" s="146">
        <f ca="1">IFERROR(VLOOKUP($A149,Resultat2022!$B$11:$J$400,4,FALSE),"")</f>
        <v>51500</v>
      </c>
      <c r="G149" s="146">
        <f ca="1">IFERROR(VLOOKUP($A149,Resultat2023!$B$11:$J$400,3,FALSE),"")</f>
        <v>80626.179999999993</v>
      </c>
      <c r="H149" s="146">
        <f ca="1">IFERROR(VLOOKUP($A149,Resultat2023!$B$11:$J$400,4,FALSE),"")</f>
        <v>49500</v>
      </c>
      <c r="I149" s="146">
        <f ca="1">IFERROR(VLOOKUP($A149,Budsjett2024!$B$11:$J$400,3,FALSE),"")</f>
        <v>82135.87</v>
      </c>
    </row>
    <row r="150" spans="1:9" hidden="1" outlineLevel="2">
      <c r="A150" s="28">
        <v>6901</v>
      </c>
      <c r="B150" s="132" t="s">
        <v>168</v>
      </c>
      <c r="C150" s="146">
        <f ca="1">IFERROR(VLOOKUP($A150,Resultat2021!$B$11:$J$400,3,FALSE),"")</f>
        <v>0</v>
      </c>
      <c r="D150" s="146">
        <f ca="1">IFERROR(VLOOKUP($A150,Resultat2021!$B$11:$J$400,4,FALSE),"")</f>
        <v>0</v>
      </c>
      <c r="E150" s="146" t="str">
        <f ca="1">IFERROR(VLOOKUP($A150,Resultat2022!$B$11:$J$400,3,FALSE),"")</f>
        <v/>
      </c>
      <c r="F150" s="146" t="str">
        <f ca="1">IFERROR(VLOOKUP($A150,Resultat2022!$B$11:$J$400,4,FALSE),"")</f>
        <v/>
      </c>
      <c r="G150" s="146">
        <f ca="1">IFERROR(VLOOKUP($A150,Resultat2023!$B$11:$J$400,3,FALSE),"")</f>
        <v>200.85</v>
      </c>
      <c r="H150" s="146">
        <f ca="1">IFERROR(VLOOKUP($A150,Resultat2023!$B$11:$J$400,4,FALSE),"")</f>
        <v>0</v>
      </c>
      <c r="I150" s="146">
        <f ca="1">IFERROR(VLOOKUP($A150,Budsjett2024!$B$11:$J$400,3,FALSE),"")</f>
        <v>200.85</v>
      </c>
    </row>
    <row r="151" spans="1:9" hidden="1" outlineLevel="2">
      <c r="A151" s="28">
        <v>6902</v>
      </c>
      <c r="B151" s="132" t="s">
        <v>169</v>
      </c>
      <c r="C151" s="146">
        <f ca="1">IFERROR(VLOOKUP($A151,Resultat2021!$B$11:$J$400,3,FALSE),"")</f>
        <v>392.6</v>
      </c>
      <c r="D151" s="146">
        <f ca="1">IFERROR(VLOOKUP($A151,Resultat2021!$B$11:$J$400,4,FALSE),"")</f>
        <v>48000</v>
      </c>
      <c r="E151" s="146">
        <f ca="1">IFERROR(VLOOKUP($A151,Resultat2022!$B$11:$J$400,3,FALSE),"")</f>
        <v>14922.5</v>
      </c>
      <c r="F151" s="146">
        <f ca="1">IFERROR(VLOOKUP($A151,Resultat2022!$B$11:$J$400,4,FALSE),"")</f>
        <v>48000</v>
      </c>
      <c r="G151" s="146">
        <f ca="1">IFERROR(VLOOKUP($A151,Resultat2023!$B$11:$J$400,3,FALSE),"")</f>
        <v>10586</v>
      </c>
      <c r="H151" s="146">
        <f ca="1">IFERROR(VLOOKUP($A151,Resultat2023!$B$11:$J$400,4,FALSE),"")</f>
        <v>48100</v>
      </c>
      <c r="I151" s="146">
        <f ca="1">IFERROR(VLOOKUP($A151,Budsjett2024!$B$11:$J$400,3,FALSE),"")</f>
        <v>33003.5</v>
      </c>
    </row>
    <row r="152" spans="1:9" hidden="1" outlineLevel="2">
      <c r="A152" s="28">
        <v>6905</v>
      </c>
      <c r="B152" s="132" t="s">
        <v>170</v>
      </c>
      <c r="C152" s="146">
        <f ca="1">IFERROR(VLOOKUP($A152,Resultat2021!$B$11:$J$400,3,FALSE),"")</f>
        <v>130681.64</v>
      </c>
      <c r="D152" s="146">
        <f ca="1">IFERROR(VLOOKUP($A152,Resultat2021!$B$11:$J$400,4,FALSE),"")</f>
        <v>20700</v>
      </c>
      <c r="E152" s="146">
        <f ca="1">IFERROR(VLOOKUP($A152,Resultat2022!$B$11:$J$400,3,FALSE),"")</f>
        <v>8462.17</v>
      </c>
      <c r="F152" s="146">
        <f ca="1">IFERROR(VLOOKUP($A152,Resultat2022!$B$11:$J$400,4,FALSE),"")</f>
        <v>120000</v>
      </c>
      <c r="G152" s="146">
        <f ca="1">IFERROR(VLOOKUP($A152,Resultat2023!$B$11:$J$400,3,FALSE),"")</f>
        <v>61597.17</v>
      </c>
      <c r="H152" s="146">
        <f ca="1">IFERROR(VLOOKUP($A152,Resultat2023!$B$11:$J$400,4,FALSE),"")</f>
        <v>20000</v>
      </c>
      <c r="I152" s="146">
        <f ca="1">IFERROR(VLOOKUP($A152,Budsjett2024!$B$11:$J$400,3,FALSE),"")</f>
        <v>51098.18</v>
      </c>
    </row>
    <row r="153" spans="1:9" hidden="1" outlineLevel="2">
      <c r="A153" s="28">
        <v>6940</v>
      </c>
      <c r="B153" s="132" t="s">
        <v>171</v>
      </c>
      <c r="C153" s="146">
        <f ca="1">IFERROR(VLOOKUP($A153,Resultat2021!$B$11:$J$400,3,FALSE),"")</f>
        <v>100269.64</v>
      </c>
      <c r="D153" s="146">
        <f ca="1">IFERROR(VLOOKUP($A153,Resultat2021!$B$11:$J$400,4,FALSE),"")</f>
        <v>74800</v>
      </c>
      <c r="E153" s="146">
        <f ca="1">IFERROR(VLOOKUP($A153,Resultat2022!$B$11:$J$400,3,FALSE),"")</f>
        <v>48387.4</v>
      </c>
      <c r="F153" s="146">
        <f ca="1">IFERROR(VLOOKUP($A153,Resultat2022!$B$11:$J$400,4,FALSE),"")</f>
        <v>0</v>
      </c>
      <c r="G153" s="146">
        <f ca="1">IFERROR(VLOOKUP($A153,Resultat2023!$B$11:$J$400,3,FALSE),"")</f>
        <v>43871.72</v>
      </c>
      <c r="H153" s="146">
        <f ca="1">IFERROR(VLOOKUP($A153,Resultat2023!$B$11:$J$400,4,FALSE),"")</f>
        <v>10000</v>
      </c>
      <c r="I153" s="146">
        <f ca="1">IFERROR(VLOOKUP($A153,Budsjett2024!$B$11:$J$400,3,FALSE),"")</f>
        <v>35804.36</v>
      </c>
    </row>
    <row r="154" spans="1:9" hidden="1" outlineLevel="1">
      <c r="A154" s="35" t="str">
        <f>"    "&amp;"Telefon og porto o.l."</f>
        <v xml:space="preserve">    Telefon og porto o.l.</v>
      </c>
      <c r="B154" s="35"/>
      <c r="C154" s="147">
        <f ca="1">IFERROR(VLOOKUP($A154,Resultat2021!$B$11:$J$400,3,FALSE),"")</f>
        <v>284778.82</v>
      </c>
      <c r="D154" s="147">
        <f ca="1">IFERROR(VLOOKUP($A154,Resultat2021!$B$11:$J$400,4,FALSE),"")</f>
        <v>198700</v>
      </c>
      <c r="E154" s="147">
        <f ca="1">IFERROR(VLOOKUP($A154,Resultat2022!$B$11:$J$400,3,FALSE),"")</f>
        <v>145050.95000000001</v>
      </c>
      <c r="F154" s="147">
        <f ca="1">IFERROR(VLOOKUP($A154,Resultat2022!$B$11:$J$400,4,FALSE),"")</f>
        <v>219500</v>
      </c>
      <c r="G154" s="147">
        <f ca="1">IFERROR(VLOOKUP($A154,Resultat2023!$B$11:$J$400,3,FALSE),"")</f>
        <v>196881.92000000001</v>
      </c>
      <c r="H154" s="147">
        <f ca="1">IFERROR(VLOOKUP($A154,Resultat2023!$B$11:$J$400,4,FALSE),"")</f>
        <v>127600</v>
      </c>
      <c r="I154" s="147">
        <f ca="1">IFERROR(VLOOKUP($A154,Budsjett2024!$B$11:$J$400,3,FALSE),"")</f>
        <v>202242.76</v>
      </c>
    </row>
    <row r="155" spans="1:9" hidden="1" outlineLevel="2">
      <c r="A155" s="28">
        <v>7171</v>
      </c>
      <c r="B155" s="132" t="s">
        <v>172</v>
      </c>
      <c r="C155" s="146" t="str">
        <f ca="1">IFERROR(VLOOKUP($A155,Resultat2021!$B$11:$J$400,3,FALSE),"")</f>
        <v/>
      </c>
      <c r="D155" s="146" t="str">
        <f ca="1">IFERROR(VLOOKUP($A155,Resultat2021!$B$11:$J$400,4,FALSE),"")</f>
        <v/>
      </c>
      <c r="E155" s="146">
        <f ca="1">IFERROR(VLOOKUP($A155,Resultat2022!$B$11:$J$400,3,FALSE),"")</f>
        <v>1065.6600000000001</v>
      </c>
      <c r="F155" s="146">
        <f ca="1">IFERROR(VLOOKUP($A155,Resultat2022!$B$11:$J$400,4,FALSE),"")</f>
        <v>0</v>
      </c>
      <c r="G155" s="146">
        <f ca="1">IFERROR(VLOOKUP($A155,Resultat2023!$B$11:$J$400,3,FALSE),"")</f>
        <v>2210</v>
      </c>
      <c r="H155" s="146">
        <f ca="1">IFERROR(VLOOKUP($A155,Resultat2023!$B$11:$J$400,4,FALSE),"")</f>
        <v>0</v>
      </c>
      <c r="I155" s="146">
        <f ca="1">IFERROR(VLOOKUP($A155,Budsjett2024!$B$11:$J$400,3,FALSE),"")</f>
        <v>0</v>
      </c>
    </row>
    <row r="156" spans="1:9" hidden="1" outlineLevel="2">
      <c r="A156" s="28">
        <v>7730</v>
      </c>
      <c r="B156" s="132" t="s">
        <v>173</v>
      </c>
      <c r="C156" s="146">
        <f ca="1">IFERROR(VLOOKUP($A156,Resultat2021!$B$11:$J$400,3,FALSE),"")</f>
        <v>4401633.91</v>
      </c>
      <c r="D156" s="146">
        <f ca="1">IFERROR(VLOOKUP($A156,Resultat2021!$B$11:$J$400,4,FALSE),"")</f>
        <v>3634292</v>
      </c>
      <c r="E156" s="146">
        <f ca="1">IFERROR(VLOOKUP($A156,Resultat2022!$B$11:$J$400,3,FALSE),"")</f>
        <v>3510684.17</v>
      </c>
      <c r="F156" s="146">
        <f ca="1">IFERROR(VLOOKUP($A156,Resultat2022!$B$11:$J$400,4,FALSE),"")</f>
        <v>3911595</v>
      </c>
      <c r="G156" s="146">
        <f ca="1">IFERROR(VLOOKUP($A156,Resultat2023!$B$11:$J$400,3,FALSE),"")</f>
        <v>4600775.46</v>
      </c>
      <c r="H156" s="146">
        <f ca="1">IFERROR(VLOOKUP($A156,Resultat2023!$B$11:$J$400,4,FALSE),"")</f>
        <v>4688342</v>
      </c>
      <c r="I156" s="146">
        <f ca="1">IFERROR(VLOOKUP($A156,Budsjett2024!$B$11:$J$400,3,FALSE),"")</f>
        <v>4567000</v>
      </c>
    </row>
    <row r="157" spans="1:9" hidden="1" outlineLevel="2">
      <c r="A157" s="28">
        <v>7731</v>
      </c>
      <c r="B157" s="132" t="s">
        <v>174</v>
      </c>
      <c r="C157" s="146">
        <f ca="1">IFERROR(VLOOKUP($A157,Resultat2021!$B$11:$J$400,3,FALSE),"")</f>
        <v>4457691.2</v>
      </c>
      <c r="D157" s="146">
        <f ca="1">IFERROR(VLOOKUP($A157,Resultat2021!$B$11:$J$400,4,FALSE),"")</f>
        <v>4413292</v>
      </c>
      <c r="E157" s="146">
        <f ca="1">IFERROR(VLOOKUP($A157,Resultat2022!$B$11:$J$400,3,FALSE),"")</f>
        <v>2707375.8</v>
      </c>
      <c r="F157" s="146">
        <f ca="1">IFERROR(VLOOKUP($A157,Resultat2022!$B$11:$J$400,4,FALSE),"")</f>
        <v>4413292</v>
      </c>
      <c r="G157" s="146">
        <f ca="1">IFERROR(VLOOKUP($A157,Resultat2023!$B$11:$J$400,3,FALSE),"")</f>
        <v>1764239.66</v>
      </c>
      <c r="H157" s="146">
        <f ca="1">IFERROR(VLOOKUP($A157,Resultat2023!$B$11:$J$400,4,FALSE),"")</f>
        <v>3763064</v>
      </c>
      <c r="I157" s="146">
        <f ca="1">IFERROR(VLOOKUP($A157,Budsjett2024!$B$11:$J$400,3,FALSE),"")</f>
        <v>3180453</v>
      </c>
    </row>
    <row r="158" spans="1:9" hidden="1" outlineLevel="2">
      <c r="A158" s="28">
        <v>7735</v>
      </c>
      <c r="B158" s="132" t="s">
        <v>175</v>
      </c>
      <c r="C158" s="146">
        <f ca="1">IFERROR(VLOOKUP($A158,Resultat2021!$B$11:$J$400,3,FALSE),"")</f>
        <v>832630.65</v>
      </c>
      <c r="D158" s="146">
        <f ca="1">IFERROR(VLOOKUP($A158,Resultat2021!$B$11:$J$400,4,FALSE),"")</f>
        <v>2599216</v>
      </c>
      <c r="E158" s="146">
        <f ca="1">IFERROR(VLOOKUP($A158,Resultat2022!$B$11:$J$400,3,FALSE),"")</f>
        <v>1806761.65</v>
      </c>
      <c r="F158" s="146">
        <f ca="1">IFERROR(VLOOKUP($A158,Resultat2022!$B$11:$J$400,4,FALSE),"")</f>
        <v>2272113</v>
      </c>
      <c r="G158" s="146">
        <f ca="1">IFERROR(VLOOKUP($A158,Resultat2023!$B$11:$J$400,3,FALSE),"")</f>
        <v>1480939.32</v>
      </c>
      <c r="H158" s="146">
        <f ca="1">IFERROR(VLOOKUP($A158,Resultat2023!$B$11:$J$400,4,FALSE),"")</f>
        <v>2451714</v>
      </c>
      <c r="I158" s="146">
        <f ca="1">IFERROR(VLOOKUP($A158,Budsjett2024!$B$11:$J$400,3,FALSE),"")</f>
        <v>2472981</v>
      </c>
    </row>
    <row r="159" spans="1:9" hidden="1" outlineLevel="1">
      <c r="A159" s="35" t="str">
        <f>"    "&amp;"Evangelisering og misjon"</f>
        <v xml:space="preserve">    Evangelisering og misjon</v>
      </c>
      <c r="B159" s="35"/>
      <c r="C159" s="147">
        <f ca="1">IFERROR(VLOOKUP($A159,Resultat2021!$B$11:$J$400,3,FALSE),"")</f>
        <v>9691955.7599999998</v>
      </c>
      <c r="D159" s="147">
        <f ca="1">IFERROR(VLOOKUP($A159,Resultat2021!$B$11:$J$400,4,FALSE),"")</f>
        <v>10646800</v>
      </c>
      <c r="E159" s="147">
        <f ca="1">IFERROR(VLOOKUP($A159,Resultat2022!$B$11:$J$400,3,FALSE),"")</f>
        <v>8025887.2799999993</v>
      </c>
      <c r="F159" s="147">
        <f ca="1">IFERROR(VLOOKUP($A159,Resultat2022!$B$11:$J$400,4,FALSE),"")</f>
        <v>10597000</v>
      </c>
      <c r="G159" s="147">
        <f ca="1">IFERROR(VLOOKUP($A159,Resultat2023!$B$11:$J$400,3,FALSE),"")</f>
        <v>7940421.7800000003</v>
      </c>
      <c r="H159" s="147">
        <f ca="1">IFERROR(VLOOKUP($A159,Resultat2023!$B$11:$J$400,4,FALSE),"")</f>
        <v>10903120</v>
      </c>
      <c r="I159" s="147">
        <f ca="1">IFERROR(VLOOKUP($A159,Budsjett2024!$B$11:$J$400,3,FALSE),"")</f>
        <v>10220434</v>
      </c>
    </row>
    <row r="160" spans="1:9" hidden="1" outlineLevel="2">
      <c r="A160" s="28">
        <v>7100</v>
      </c>
      <c r="B160" s="132" t="s">
        <v>176</v>
      </c>
      <c r="C160" s="146">
        <f ca="1">IFERROR(VLOOKUP($A160,Resultat2021!$B$11:$J$400,3,FALSE),"")</f>
        <v>97148.66</v>
      </c>
      <c r="D160" s="146">
        <f ca="1">IFERROR(VLOOKUP($A160,Resultat2021!$B$11:$J$400,4,FALSE),"")</f>
        <v>91500</v>
      </c>
      <c r="E160" s="146">
        <f ca="1">IFERROR(VLOOKUP($A160,Resultat2022!$B$11:$J$400,3,FALSE),"")</f>
        <v>149344.79999999999</v>
      </c>
      <c r="F160" s="146">
        <f ca="1">IFERROR(VLOOKUP($A160,Resultat2022!$B$11:$J$400,4,FALSE),"")</f>
        <v>100000</v>
      </c>
      <c r="G160" s="146">
        <f ca="1">IFERROR(VLOOKUP($A160,Resultat2023!$B$11:$J$400,3,FALSE),"")</f>
        <v>102724.67</v>
      </c>
      <c r="H160" s="146">
        <f ca="1">IFERROR(VLOOKUP($A160,Resultat2023!$B$11:$J$400,4,FALSE),"")</f>
        <v>73000</v>
      </c>
      <c r="I160" s="146">
        <f ca="1">IFERROR(VLOOKUP($A160,Budsjett2024!$B$11:$J$400,3,FALSE),"")</f>
        <v>139381.5</v>
      </c>
    </row>
    <row r="161" spans="1:15" hidden="1" outlineLevel="2">
      <c r="A161" s="28">
        <v>7101</v>
      </c>
      <c r="B161" s="132" t="s">
        <v>177</v>
      </c>
      <c r="C161" s="146">
        <f ca="1">IFERROR(VLOOKUP($A161,Resultat2021!$B$11:$J$400,3,FALSE),"")</f>
        <v>163758.65</v>
      </c>
      <c r="D161" s="146">
        <f ca="1">IFERROR(VLOOKUP($A161,Resultat2021!$B$11:$J$400,4,FALSE),"")</f>
        <v>163200</v>
      </c>
      <c r="E161" s="146">
        <f ca="1">IFERROR(VLOOKUP($A161,Resultat2022!$B$11:$J$400,3,FALSE),"")</f>
        <v>201901.4</v>
      </c>
      <c r="F161" s="146">
        <f ca="1">IFERROR(VLOOKUP($A161,Resultat2022!$B$11:$J$400,4,FALSE),"")</f>
        <v>239200</v>
      </c>
      <c r="G161" s="146">
        <f ca="1">IFERROR(VLOOKUP($A161,Resultat2023!$B$11:$J$400,3,FALSE),"")</f>
        <v>256251</v>
      </c>
      <c r="H161" s="146">
        <f ca="1">IFERROR(VLOOKUP($A161,Resultat2023!$B$11:$J$400,4,FALSE),"")</f>
        <v>260200</v>
      </c>
      <c r="I161" s="146">
        <f ca="1">IFERROR(VLOOKUP($A161,Budsjett2024!$B$11:$J$400,3,FALSE),"")</f>
        <v>252259.35</v>
      </c>
    </row>
    <row r="162" spans="1:15" hidden="1" outlineLevel="2">
      <c r="A162" s="28">
        <v>7140</v>
      </c>
      <c r="B162" s="132" t="s">
        <v>178</v>
      </c>
      <c r="C162" s="146">
        <f ca="1">IFERROR(VLOOKUP($A162,Resultat2021!$B$11:$J$400,3,FALSE),"")</f>
        <v>598245.17000000004</v>
      </c>
      <c r="D162" s="146">
        <f ca="1">IFERROR(VLOOKUP($A162,Resultat2021!$B$11:$J$400,4,FALSE),"")</f>
        <v>1205000</v>
      </c>
      <c r="E162" s="146">
        <f ca="1">IFERROR(VLOOKUP($A162,Resultat2022!$B$11:$J$400,3,FALSE),"")</f>
        <v>950924.08</v>
      </c>
      <c r="F162" s="146">
        <f ca="1">IFERROR(VLOOKUP($A162,Resultat2022!$B$11:$J$400,4,FALSE),"")</f>
        <v>1531000</v>
      </c>
      <c r="G162" s="146">
        <f ca="1">IFERROR(VLOOKUP($A162,Resultat2023!$B$11:$J$400,3,FALSE),"")</f>
        <v>1320707.52</v>
      </c>
      <c r="H162" s="146">
        <f ca="1">IFERROR(VLOOKUP($A162,Resultat2023!$B$11:$J$400,4,FALSE),"")</f>
        <v>1837400</v>
      </c>
      <c r="I162" s="146">
        <f ca="1">IFERROR(VLOOKUP($A162,Budsjett2024!$B$11:$J$400,3,FALSE),"")</f>
        <v>1912030.65</v>
      </c>
    </row>
    <row r="163" spans="1:15" hidden="1" outlineLevel="2">
      <c r="A163" s="28">
        <v>7141</v>
      </c>
      <c r="B163" s="132" t="s">
        <v>179</v>
      </c>
      <c r="C163" s="146">
        <f ca="1">IFERROR(VLOOKUP($A163,Resultat2021!$B$11:$J$400,3,FALSE),"")</f>
        <v>76224.12</v>
      </c>
      <c r="D163" s="146">
        <f ca="1">IFERROR(VLOOKUP($A163,Resultat2021!$B$11:$J$400,4,FALSE),"")</f>
        <v>0</v>
      </c>
      <c r="E163" s="146">
        <f ca="1">IFERROR(VLOOKUP($A163,Resultat2022!$B$11:$J$400,3,FALSE),"")</f>
        <v>349000.59</v>
      </c>
      <c r="F163" s="146">
        <f ca="1">IFERROR(VLOOKUP($A163,Resultat2022!$B$11:$J$400,4,FALSE),"")</f>
        <v>0</v>
      </c>
      <c r="G163" s="146">
        <f ca="1">IFERROR(VLOOKUP($A163,Resultat2023!$B$11:$J$400,3,FALSE),"")</f>
        <v>747283.32</v>
      </c>
      <c r="H163" s="146">
        <f ca="1">IFERROR(VLOOKUP($A163,Resultat2023!$B$11:$J$400,4,FALSE),"")</f>
        <v>0</v>
      </c>
      <c r="I163" s="146">
        <f ca="1">IFERROR(VLOOKUP($A163,Budsjett2024!$B$11:$J$400,3,FALSE),"")</f>
        <v>221095.88</v>
      </c>
    </row>
    <row r="164" spans="1:15" hidden="1" outlineLevel="2">
      <c r="A164" s="28">
        <v>7150</v>
      </c>
      <c r="B164" s="132" t="s">
        <v>180</v>
      </c>
      <c r="C164" s="146">
        <f ca="1">IFERROR(VLOOKUP($A164,Resultat2021!$B$11:$J$400,3,FALSE),"")</f>
        <v>5952.5</v>
      </c>
      <c r="D164" s="146">
        <f ca="1">IFERROR(VLOOKUP($A164,Resultat2021!$B$11:$J$400,4,FALSE),"")</f>
        <v>25000</v>
      </c>
      <c r="E164" s="146">
        <f ca="1">IFERROR(VLOOKUP($A164,Resultat2022!$B$11:$J$400,3,FALSE),"")</f>
        <v>15762</v>
      </c>
      <c r="F164" s="146">
        <f ca="1">IFERROR(VLOOKUP($A164,Resultat2022!$B$11:$J$400,4,FALSE),"")</f>
        <v>25000</v>
      </c>
      <c r="G164" s="146">
        <f ca="1">IFERROR(VLOOKUP($A164,Resultat2023!$B$11:$J$400,3,FALSE),"")</f>
        <v>29713.75</v>
      </c>
      <c r="H164" s="146">
        <f ca="1">IFERROR(VLOOKUP($A164,Resultat2023!$B$11:$J$400,4,FALSE),"")</f>
        <v>15000</v>
      </c>
      <c r="I164" s="146">
        <f ca="1">IFERROR(VLOOKUP($A164,Budsjett2024!$B$11:$J$400,3,FALSE),"")</f>
        <v>50817</v>
      </c>
    </row>
    <row r="165" spans="1:15" hidden="1" outlineLevel="2">
      <c r="A165" s="28">
        <v>7151</v>
      </c>
      <c r="B165" s="132" t="s">
        <v>181</v>
      </c>
      <c r="C165" s="146">
        <f ca="1">IFERROR(VLOOKUP($A165,Resultat2021!$B$11:$J$400,3,FALSE),"")</f>
        <v>2264</v>
      </c>
      <c r="D165" s="146">
        <f ca="1">IFERROR(VLOOKUP($A165,Resultat2021!$B$11:$J$400,4,FALSE),"")</f>
        <v>5000</v>
      </c>
      <c r="E165" s="146">
        <f ca="1">IFERROR(VLOOKUP($A165,Resultat2022!$B$11:$J$400,3,FALSE),"")</f>
        <v>5244</v>
      </c>
      <c r="F165" s="146">
        <f ca="1">IFERROR(VLOOKUP($A165,Resultat2022!$B$11:$J$400,4,FALSE),"")</f>
        <v>5000</v>
      </c>
      <c r="G165" s="146">
        <f ca="1">IFERROR(VLOOKUP($A165,Resultat2023!$B$11:$J$400,3,FALSE),"")</f>
        <v>8329.5</v>
      </c>
      <c r="H165" s="146">
        <f ca="1">IFERROR(VLOOKUP($A165,Resultat2023!$B$11:$J$400,4,FALSE),"")</f>
        <v>0</v>
      </c>
      <c r="I165" s="146">
        <f ca="1">IFERROR(VLOOKUP($A165,Budsjett2024!$B$11:$J$400,3,FALSE),"")</f>
        <v>6461</v>
      </c>
    </row>
    <row r="166" spans="1:15" hidden="1" outlineLevel="2">
      <c r="A166" s="28">
        <v>7170</v>
      </c>
      <c r="B166" s="132" t="s">
        <v>182</v>
      </c>
      <c r="C166" s="146">
        <f ca="1">IFERROR(VLOOKUP($A166,Resultat2021!$B$11:$J$400,3,FALSE),"")</f>
        <v>71660.61</v>
      </c>
      <c r="D166" s="146">
        <f ca="1">IFERROR(VLOOKUP($A166,Resultat2021!$B$11:$J$400,4,FALSE),"")</f>
        <v>0</v>
      </c>
      <c r="E166" s="146">
        <f ca="1">IFERROR(VLOOKUP($A166,Resultat2022!$B$11:$J$400,3,FALSE),"")</f>
        <v>0</v>
      </c>
      <c r="F166" s="146">
        <f ca="1">IFERROR(VLOOKUP($A166,Resultat2022!$B$11:$J$400,4,FALSE),"")</f>
        <v>0</v>
      </c>
      <c r="G166" s="146">
        <f ca="1">IFERROR(VLOOKUP($A166,Resultat2023!$B$11:$J$400,3,FALSE),"")</f>
        <v>134694.79999999999</v>
      </c>
      <c r="H166" s="146">
        <f ca="1">IFERROR(VLOOKUP($A166,Resultat2023!$B$11:$J$400,4,FALSE),"")</f>
        <v>0</v>
      </c>
      <c r="I166" s="146">
        <f ca="1">IFERROR(VLOOKUP($A166,Budsjett2024!$B$11:$J$400,3,FALSE),"")</f>
        <v>0</v>
      </c>
    </row>
    <row r="167" spans="1:15" hidden="1" outlineLevel="1">
      <c r="A167" s="35" t="str">
        <f>"    "&amp;"Reise"</f>
        <v xml:space="preserve">    Reise</v>
      </c>
      <c r="B167" s="35"/>
      <c r="C167" s="147">
        <f ca="1">IFERROR(VLOOKUP($A167,Resultat2021!$B$11:$J$400,3,FALSE),"")</f>
        <v>1015253.71</v>
      </c>
      <c r="D167" s="147">
        <f ca="1">IFERROR(VLOOKUP($A167,Resultat2021!$B$11:$J$400,4,FALSE),"")</f>
        <v>1489700</v>
      </c>
      <c r="E167" s="147">
        <f ca="1">IFERROR(VLOOKUP($A167,Resultat2022!$B$11:$J$400,3,FALSE),"")</f>
        <v>1672176.8699999999</v>
      </c>
      <c r="F167" s="147">
        <f ca="1">IFERROR(VLOOKUP($A167,Resultat2022!$B$11:$J$400,4,FALSE),"")</f>
        <v>1900200</v>
      </c>
      <c r="G167" s="147">
        <f ca="1">IFERROR(VLOOKUP($A167,Resultat2023!$B$11:$J$400,3,FALSE),"")</f>
        <v>2599704.5599999996</v>
      </c>
      <c r="H167" s="147">
        <f ca="1">IFERROR(VLOOKUP($A167,Resultat2023!$B$11:$J$400,4,FALSE),"")</f>
        <v>2185600</v>
      </c>
      <c r="I167" s="147">
        <f ca="1">IFERROR(VLOOKUP($A167,Budsjett2024!$B$11:$J$400,3,FALSE),"")</f>
        <v>2582045.38</v>
      </c>
    </row>
    <row r="168" spans="1:15" hidden="1" outlineLevel="2">
      <c r="A168" s="28">
        <v>7320</v>
      </c>
      <c r="B168" s="132" t="s">
        <v>183</v>
      </c>
      <c r="C168" s="146">
        <f ca="1">IFERROR(VLOOKUP($A168,Resultat2021!$B$11:$J$400,3,FALSE),"")</f>
        <v>92184.5</v>
      </c>
      <c r="D168" s="146">
        <f ca="1">IFERROR(VLOOKUP($A168,Resultat2021!$B$11:$J$400,4,FALSE),"")</f>
        <v>22200</v>
      </c>
      <c r="E168" s="146">
        <f ca="1">IFERROR(VLOOKUP($A168,Resultat2022!$B$11:$J$400,3,FALSE),"")</f>
        <v>163031.25</v>
      </c>
      <c r="F168" s="146">
        <f ca="1">IFERROR(VLOOKUP($A168,Resultat2022!$B$11:$J$400,4,FALSE),"")</f>
        <v>40000</v>
      </c>
      <c r="G168" s="146">
        <f ca="1">IFERROR(VLOOKUP($A168,Resultat2023!$B$11:$J$400,3,FALSE),"")</f>
        <v>200206.25</v>
      </c>
      <c r="H168" s="146">
        <f ca="1">IFERROR(VLOOKUP($A168,Resultat2023!$B$11:$J$400,4,FALSE),"")</f>
        <v>40000</v>
      </c>
      <c r="I168" s="146">
        <f ca="1">IFERROR(VLOOKUP($A168,Budsjett2024!$B$11:$J$400,3,FALSE),"")</f>
        <v>103106.25</v>
      </c>
    </row>
    <row r="169" spans="1:15" hidden="1" outlineLevel="2">
      <c r="A169" s="28">
        <v>7331</v>
      </c>
      <c r="B169" s="132" t="s">
        <v>184</v>
      </c>
      <c r="C169" s="146">
        <f ca="1">IFERROR(VLOOKUP($A169,Resultat2021!$B$11:$J$400,3,FALSE),"")</f>
        <v>29750</v>
      </c>
      <c r="D169" s="146">
        <f ca="1">IFERROR(VLOOKUP($A169,Resultat2021!$B$11:$J$400,4,FALSE),"")</f>
        <v>3000</v>
      </c>
      <c r="E169" s="146">
        <f ca="1">IFERROR(VLOOKUP($A169,Resultat2022!$B$11:$J$400,3,FALSE),"")</f>
        <v>1179</v>
      </c>
      <c r="F169" s="146">
        <f ca="1">IFERROR(VLOOKUP($A169,Resultat2022!$B$11:$J$400,4,FALSE),"")</f>
        <v>0</v>
      </c>
      <c r="G169" s="146">
        <f ca="1">IFERROR(VLOOKUP($A169,Resultat2023!$B$11:$J$400,3,FALSE),"")</f>
        <v>0</v>
      </c>
      <c r="H169" s="146">
        <f ca="1">IFERROR(VLOOKUP($A169,Resultat2023!$B$11:$J$400,4,FALSE),"")</f>
        <v>0</v>
      </c>
      <c r="I169" s="146" t="str">
        <f ca="1">IFERROR(VLOOKUP($A169,Budsjett2024!$B$11:$J$400,3,FALSE),"")</f>
        <v/>
      </c>
    </row>
    <row r="170" spans="1:15" hidden="1" outlineLevel="1">
      <c r="A170" s="35" t="str">
        <f>"    "&amp;"Salgs-, reklame- og representasjonskostnader"</f>
        <v xml:space="preserve">    Salgs-, reklame- og representasjonskostnader</v>
      </c>
      <c r="B170" s="35"/>
      <c r="C170" s="147">
        <f ca="1">IFERROR(VLOOKUP($A170,Resultat2021!$B$11:$J$400,3,FALSE),"")</f>
        <v>121934.5</v>
      </c>
      <c r="D170" s="147">
        <f ca="1">IFERROR(VLOOKUP($A170,Resultat2021!$B$11:$J$400,4,FALSE),"")</f>
        <v>25200</v>
      </c>
      <c r="E170" s="147">
        <f ca="1">IFERROR(VLOOKUP($A170,Resultat2022!$B$11:$J$400,3,FALSE),"")</f>
        <v>164210.25</v>
      </c>
      <c r="F170" s="147">
        <f ca="1">IFERROR(VLOOKUP($A170,Resultat2022!$B$11:$J$400,4,FALSE),"")</f>
        <v>40000</v>
      </c>
      <c r="G170" s="147">
        <f ca="1">IFERROR(VLOOKUP($A170,Resultat2023!$B$11:$J$400,3,FALSE),"")</f>
        <v>200206.25</v>
      </c>
      <c r="H170" s="147">
        <f ca="1">IFERROR(VLOOKUP($A170,Resultat2023!$B$11:$J$400,4,FALSE),"")</f>
        <v>40000</v>
      </c>
      <c r="I170" s="147">
        <f ca="1">IFERROR(VLOOKUP($A170,Budsjett2024!$B$11:$J$400,3,FALSE),"")</f>
        <v>103106.25</v>
      </c>
    </row>
    <row r="171" spans="1:15" hidden="1" outlineLevel="2">
      <c r="A171" s="28">
        <v>7410</v>
      </c>
      <c r="B171" s="132" t="s">
        <v>185</v>
      </c>
      <c r="C171" s="146">
        <f ca="1">IFERROR(VLOOKUP($A171,Resultat2021!$B$11:$J$400,3,FALSE),"")</f>
        <v>253631.49</v>
      </c>
      <c r="D171" s="146">
        <f ca="1">IFERROR(VLOOKUP($A171,Resultat2021!$B$11:$J$400,4,FALSE),"")</f>
        <v>288200</v>
      </c>
      <c r="E171" s="146">
        <f ca="1">IFERROR(VLOOKUP($A171,Resultat2022!$B$11:$J$400,3,FALSE),"")</f>
        <v>234716.2</v>
      </c>
      <c r="F171" s="146">
        <f ca="1">IFERROR(VLOOKUP($A171,Resultat2022!$B$11:$J$400,4,FALSE),"")</f>
        <v>280000</v>
      </c>
      <c r="G171" s="146">
        <f ca="1">IFERROR(VLOOKUP($A171,Resultat2023!$B$11:$J$400,3,FALSE),"")</f>
        <v>255097.72</v>
      </c>
      <c r="H171" s="146">
        <f ca="1">IFERROR(VLOOKUP($A171,Resultat2023!$B$11:$J$400,4,FALSE),"")</f>
        <v>288000</v>
      </c>
      <c r="I171" s="146">
        <f ca="1">IFERROR(VLOOKUP($A171,Budsjett2024!$B$11:$J$400,3,FALSE),"")</f>
        <v>338193.04</v>
      </c>
    </row>
    <row r="172" spans="1:15" hidden="1" outlineLevel="2">
      <c r="A172" s="28">
        <v>7430</v>
      </c>
      <c r="B172" s="132" t="s">
        <v>186</v>
      </c>
      <c r="C172" s="146">
        <f ca="1">IFERROR(VLOOKUP($A172,Resultat2021!$B$11:$J$400,3,FALSE),"")</f>
        <v>208763.2</v>
      </c>
      <c r="D172" s="146">
        <f ca="1">IFERROR(VLOOKUP($A172,Resultat2021!$B$11:$J$400,4,FALSE),"")</f>
        <v>4000</v>
      </c>
      <c r="E172" s="146">
        <f ca="1">IFERROR(VLOOKUP($A172,Resultat2022!$B$11:$J$400,3,FALSE),"")</f>
        <v>48692</v>
      </c>
      <c r="F172" s="146">
        <f ca="1">IFERROR(VLOOKUP($A172,Resultat2022!$B$11:$J$400,4,FALSE),"")</f>
        <v>7000</v>
      </c>
      <c r="G172" s="146">
        <f ca="1">IFERROR(VLOOKUP($A172,Resultat2023!$B$11:$J$400,3,FALSE),"")</f>
        <v>379224.62</v>
      </c>
      <c r="H172" s="146">
        <f ca="1">IFERROR(VLOOKUP($A172,Resultat2023!$B$11:$J$400,4,FALSE),"")</f>
        <v>7000</v>
      </c>
      <c r="I172" s="146">
        <f ca="1">IFERROR(VLOOKUP($A172,Budsjett2024!$B$11:$J$400,3,FALSE),"")</f>
        <v>52000</v>
      </c>
    </row>
    <row r="173" spans="1:15" hidden="1" outlineLevel="2">
      <c r="A173" s="28">
        <v>7432</v>
      </c>
      <c r="B173" s="132" t="s">
        <v>187</v>
      </c>
      <c r="C173" s="146">
        <f ca="1">IFERROR(VLOOKUP($A173,Resultat2021!$B$11:$J$400,3,FALSE),"")</f>
        <v>0</v>
      </c>
      <c r="D173" s="146">
        <f ca="1">IFERROR(VLOOKUP($A173,Resultat2021!$B$11:$J$400,4,FALSE),"")</f>
        <v>0</v>
      </c>
      <c r="E173" s="146">
        <f ca="1">IFERROR(VLOOKUP($A173,Resultat2022!$B$11:$J$400,3,FALSE),"")</f>
        <v>0</v>
      </c>
      <c r="F173" s="146">
        <f ca="1">IFERROR(VLOOKUP($A173,Resultat2022!$B$11:$J$400,4,FALSE),"")</f>
        <v>0</v>
      </c>
      <c r="G173" s="146">
        <f ca="1">IFERROR(VLOOKUP($A173,Resultat2023!$B$11:$J$400,3,FALSE),"")</f>
        <v>0</v>
      </c>
      <c r="H173" s="146">
        <f ca="1">IFERROR(VLOOKUP($A173,Resultat2023!$B$11:$J$400,4,FALSE),"")</f>
        <v>0</v>
      </c>
      <c r="I173" s="146">
        <f ca="1">IFERROR(VLOOKUP($A173,Budsjett2024!$B$11:$J$400,3,FALSE),"")</f>
        <v>0</v>
      </c>
      <c r="L173">
        <v>2021</v>
      </c>
      <c r="M173">
        <v>2022</v>
      </c>
      <c r="N173">
        <v>2023</v>
      </c>
    </row>
    <row r="174" spans="1:15" hidden="1" outlineLevel="2">
      <c r="A174" s="28">
        <v>7437</v>
      </c>
      <c r="B174" s="132" t="s">
        <v>188</v>
      </c>
      <c r="C174" s="146">
        <f ca="1">IFERROR(VLOOKUP($A174,Resultat2021!$B$11:$J$400,3,FALSE),"")</f>
        <v>250000</v>
      </c>
      <c r="D174" s="146">
        <f ca="1">IFERROR(VLOOKUP($A174,Resultat2021!$B$11:$J$400,4,FALSE),"")</f>
        <v>0</v>
      </c>
      <c r="E174" s="146">
        <f ca="1">IFERROR(VLOOKUP($A174,Resultat2022!$B$11:$J$400,3,FALSE),"")</f>
        <v>951500</v>
      </c>
      <c r="F174" s="146">
        <f ca="1">IFERROR(VLOOKUP($A174,Resultat2022!$B$11:$J$400,4,FALSE),"")</f>
        <v>0</v>
      </c>
      <c r="G174" s="146">
        <f ca="1">IFERROR(VLOOKUP($A174,Resultat2023!$B$11:$J$400,3,FALSE),"")</f>
        <v>1446500</v>
      </c>
      <c r="H174" s="146">
        <f ca="1">IFERROR(VLOOKUP($A174,Resultat2023!$B$11:$J$400,4,FALSE),"")</f>
        <v>0</v>
      </c>
      <c r="I174" s="146">
        <f ca="1">IFERROR(VLOOKUP($A174,Budsjett2024!$B$11:$J$400,3,FALSE),"")</f>
        <v>255000</v>
      </c>
      <c r="L174" s="159">
        <f ca="1">SUM(C174:C176)</f>
        <v>4199300</v>
      </c>
      <c r="M174" s="159">
        <f ca="1">SUM(E174:E176)</f>
        <v>5499560</v>
      </c>
      <c r="N174" s="159">
        <f ca="1">SUM(G174:G176)</f>
        <v>7330541</v>
      </c>
      <c r="O174" s="159">
        <f ca="1">SUM(L174:N174)</f>
        <v>17029401</v>
      </c>
    </row>
    <row r="175" spans="1:15" hidden="1" outlineLevel="2">
      <c r="A175" s="28">
        <v>7439</v>
      </c>
      <c r="B175" s="132" t="s">
        <v>189</v>
      </c>
      <c r="C175" s="146">
        <f ca="1">IFERROR(VLOOKUP($A175,Resultat2021!$B$11:$J$400,3,FALSE),"")</f>
        <v>3911000</v>
      </c>
      <c r="D175" s="146">
        <f ca="1">IFERROR(VLOOKUP($A175,Resultat2021!$B$11:$J$400,4,FALSE),"")</f>
        <v>4562700</v>
      </c>
      <c r="E175" s="146">
        <f ca="1">IFERROR(VLOOKUP($A175,Resultat2022!$B$11:$J$400,3,FALSE),"")</f>
        <v>4548060</v>
      </c>
      <c r="F175" s="146">
        <f ca="1">IFERROR(VLOOKUP($A175,Resultat2022!$B$11:$J$400,4,FALSE),"")</f>
        <v>4880500</v>
      </c>
      <c r="G175" s="146">
        <f ca="1">IFERROR(VLOOKUP($A175,Resultat2023!$B$11:$J$400,3,FALSE),"")</f>
        <v>5884041</v>
      </c>
      <c r="H175" s="146">
        <f ca="1">IFERROR(VLOOKUP($A175,Resultat2023!$B$11:$J$400,4,FALSE),"")</f>
        <v>4016000</v>
      </c>
      <c r="I175" s="146">
        <f ca="1">IFERROR(VLOOKUP($A175,Budsjett2024!$B$11:$J$400,3,FALSE),"")</f>
        <v>7625000</v>
      </c>
    </row>
    <row r="176" spans="1:15" hidden="1" outlineLevel="2">
      <c r="A176" s="28">
        <v>7440</v>
      </c>
      <c r="B176" s="132" t="s">
        <v>190</v>
      </c>
      <c r="C176" s="146">
        <f ca="1">IFERROR(VLOOKUP($A176,Resultat2021!$B$11:$J$400,3,FALSE),"")</f>
        <v>38300</v>
      </c>
      <c r="D176" s="146">
        <f ca="1">IFERROR(VLOOKUP($A176,Resultat2021!$B$11:$J$400,4,FALSE),"")</f>
        <v>0</v>
      </c>
      <c r="E176" s="146">
        <f ca="1">IFERROR(VLOOKUP($A176,Resultat2022!$B$11:$J$400,3,FALSE),"")</f>
        <v>0</v>
      </c>
      <c r="F176" s="146">
        <f ca="1">IFERROR(VLOOKUP($A176,Resultat2022!$B$11:$J$400,4,FALSE),"")</f>
        <v>0</v>
      </c>
      <c r="G176" s="146" t="str">
        <f ca="1">IFERROR(VLOOKUP($A176,Resultat2023!$B$11:$J$400,3,FALSE),"")</f>
        <v/>
      </c>
      <c r="H176" s="146" t="str">
        <f ca="1">IFERROR(VLOOKUP($A176,Resultat2023!$B$11:$J$400,4,FALSE),"")</f>
        <v/>
      </c>
      <c r="I176" s="146" t="str">
        <f ca="1">IFERROR(VLOOKUP($A176,Budsjett2024!$B$11:$J$400,3,FALSE),"")</f>
        <v/>
      </c>
    </row>
    <row r="177" spans="1:9" hidden="1" outlineLevel="2">
      <c r="A177" s="28">
        <v>7445</v>
      </c>
      <c r="B177" s="132" t="s">
        <v>191</v>
      </c>
      <c r="C177" s="146">
        <f ca="1">IFERROR(VLOOKUP($A177,Resultat2021!$B$11:$J$400,3,FALSE),"")</f>
        <v>79500</v>
      </c>
      <c r="D177" s="146">
        <f ca="1">IFERROR(VLOOKUP($A177,Resultat2021!$B$11:$J$400,4,FALSE),"")</f>
        <v>68000</v>
      </c>
      <c r="E177" s="146">
        <f ca="1">IFERROR(VLOOKUP($A177,Resultat2022!$B$11:$J$400,3,FALSE),"")</f>
        <v>62000</v>
      </c>
      <c r="F177" s="146">
        <f ca="1">IFERROR(VLOOKUP($A177,Resultat2022!$B$11:$J$400,4,FALSE),"")</f>
        <v>80000</v>
      </c>
      <c r="G177" s="146">
        <f ca="1">IFERROR(VLOOKUP($A177,Resultat2023!$B$11:$J$400,3,FALSE),"")</f>
        <v>91352</v>
      </c>
      <c r="H177" s="146">
        <f ca="1">IFERROR(VLOOKUP($A177,Resultat2023!$B$11:$J$400,4,FALSE),"")</f>
        <v>95000</v>
      </c>
      <c r="I177" s="146">
        <f ca="1">IFERROR(VLOOKUP($A177,Budsjett2024!$B$11:$J$400,3,FALSE),"")</f>
        <v>50000</v>
      </c>
    </row>
    <row r="178" spans="1:9" hidden="1" outlineLevel="2">
      <c r="A178" s="28">
        <v>7447</v>
      </c>
      <c r="B178" s="132" t="s">
        <v>192</v>
      </c>
      <c r="C178" s="146">
        <f ca="1">IFERROR(VLOOKUP($A178,Resultat2021!$B$11:$J$400,3,FALSE),"")</f>
        <v>105049</v>
      </c>
      <c r="D178" s="146">
        <f ca="1">IFERROR(VLOOKUP($A178,Resultat2021!$B$11:$J$400,4,FALSE),"")</f>
        <v>130000</v>
      </c>
      <c r="E178" s="146">
        <f ca="1">IFERROR(VLOOKUP($A178,Resultat2022!$B$11:$J$400,3,FALSE),"")</f>
        <v>73730</v>
      </c>
      <c r="F178" s="146">
        <f ca="1">IFERROR(VLOOKUP($A178,Resultat2022!$B$11:$J$400,4,FALSE),"")</f>
        <v>190000</v>
      </c>
      <c r="G178" s="146">
        <f ca="1">IFERROR(VLOOKUP($A178,Resultat2023!$B$11:$J$400,3,FALSE),"")</f>
        <v>350548</v>
      </c>
      <c r="H178" s="146">
        <f ca="1">IFERROR(VLOOKUP($A178,Resultat2023!$B$11:$J$400,4,FALSE),"")</f>
        <v>310000</v>
      </c>
      <c r="I178" s="146">
        <f ca="1">IFERROR(VLOOKUP($A178,Budsjett2024!$B$11:$J$400,3,FALSE),"")</f>
        <v>152928</v>
      </c>
    </row>
    <row r="179" spans="1:9" hidden="1" outlineLevel="2">
      <c r="A179" s="28">
        <v>7448</v>
      </c>
      <c r="B179" s="132" t="s">
        <v>193</v>
      </c>
      <c r="C179" s="146">
        <f ca="1">IFERROR(VLOOKUP($A179,Resultat2021!$B$11:$J$400,3,FALSE),"")</f>
        <v>0</v>
      </c>
      <c r="D179" s="146">
        <f ca="1">IFERROR(VLOOKUP($A179,Resultat2021!$B$11:$J$400,4,FALSE),"")</f>
        <v>0</v>
      </c>
      <c r="E179" s="146">
        <f ca="1">IFERROR(VLOOKUP($A179,Resultat2022!$B$11:$J$400,3,FALSE),"")</f>
        <v>0</v>
      </c>
      <c r="F179" s="146">
        <f ca="1">IFERROR(VLOOKUP($A179,Resultat2022!$B$11:$J$400,4,FALSE),"")</f>
        <v>0</v>
      </c>
      <c r="G179" s="146">
        <f ca="1">IFERROR(VLOOKUP($A179,Resultat2023!$B$11:$J$400,3,FALSE),"")</f>
        <v>0</v>
      </c>
      <c r="H179" s="146">
        <f ca="1">IFERROR(VLOOKUP($A179,Resultat2023!$B$11:$J$400,4,FALSE),"")</f>
        <v>0</v>
      </c>
      <c r="I179" s="146" t="str">
        <f ca="1">IFERROR(VLOOKUP($A179,Budsjett2024!$B$11:$J$400,3,FALSE),"")</f>
        <v/>
      </c>
    </row>
    <row r="180" spans="1:9" hidden="1" outlineLevel="2">
      <c r="A180" s="28">
        <v>7460</v>
      </c>
      <c r="B180" s="132" t="s">
        <v>194</v>
      </c>
      <c r="C180" s="146">
        <f ca="1">IFERROR(VLOOKUP($A180,Resultat2021!$B$11:$J$400,3,FALSE),"")</f>
        <v>598218.04</v>
      </c>
      <c r="D180" s="146">
        <f ca="1">IFERROR(VLOOKUP($A180,Resultat2021!$B$11:$J$400,4,FALSE),"")</f>
        <v>594220</v>
      </c>
      <c r="E180" s="146">
        <f ca="1">IFERROR(VLOOKUP($A180,Resultat2022!$B$11:$J$400,3,FALSE),"")</f>
        <v>634815.56000000006</v>
      </c>
      <c r="F180" s="146">
        <f ca="1">IFERROR(VLOOKUP($A180,Resultat2022!$B$11:$J$400,4,FALSE),"")</f>
        <v>635600</v>
      </c>
      <c r="G180" s="146">
        <f ca="1">IFERROR(VLOOKUP($A180,Resultat2023!$B$11:$J$400,3,FALSE),"")</f>
        <v>635600</v>
      </c>
      <c r="H180" s="146">
        <f ca="1">IFERROR(VLOOKUP($A180,Resultat2023!$B$11:$J$400,4,FALSE),"")</f>
        <v>635600</v>
      </c>
      <c r="I180" s="146">
        <f ca="1">IFERROR(VLOOKUP($A180,Budsjett2024!$B$11:$J$400,3,FALSE),"")</f>
        <v>750000</v>
      </c>
    </row>
    <row r="181" spans="1:9" hidden="1" outlineLevel="2">
      <c r="A181" s="28">
        <v>7461</v>
      </c>
      <c r="B181" s="132" t="s">
        <v>195</v>
      </c>
      <c r="C181" s="146">
        <f ca="1">IFERROR(VLOOKUP($A181,Resultat2021!$B$11:$J$400,3,FALSE),"")</f>
        <v>2350142.5299999998</v>
      </c>
      <c r="D181" s="146">
        <f ca="1">IFERROR(VLOOKUP($A181,Resultat2021!$B$11:$J$400,4,FALSE),"")</f>
        <v>2334420</v>
      </c>
      <c r="E181" s="146">
        <f ca="1">IFERROR(VLOOKUP($A181,Resultat2022!$B$11:$J$400,3,FALSE),"")</f>
        <v>2493915.7999999998</v>
      </c>
      <c r="F181" s="146">
        <f ca="1">IFERROR(VLOOKUP($A181,Resultat2022!$B$11:$J$400,4,FALSE),"")</f>
        <v>2497000</v>
      </c>
      <c r="G181" s="146">
        <f ca="1">IFERROR(VLOOKUP($A181,Resultat2023!$B$11:$J$400,3,FALSE),"")</f>
        <v>2495571.9300000002</v>
      </c>
      <c r="H181" s="146">
        <f ca="1">IFERROR(VLOOKUP($A181,Resultat2023!$B$11:$J$400,4,FALSE),"")</f>
        <v>2459800</v>
      </c>
      <c r="I181" s="146">
        <f ca="1">IFERROR(VLOOKUP($A181,Budsjett2024!$B$11:$J$400,3,FALSE),"")</f>
        <v>2499618.9300000002</v>
      </c>
    </row>
    <row r="182" spans="1:9" hidden="1" outlineLevel="1">
      <c r="A182" s="35" t="str">
        <f>"    "&amp;"Kontingent og bevilgninger"</f>
        <v xml:space="preserve">    Kontingent og bevilgninger</v>
      </c>
      <c r="B182" s="35"/>
      <c r="C182" s="147">
        <f ca="1">IFERROR(VLOOKUP($A182,Resultat2021!$B$11:$J$400,3,FALSE),"")</f>
        <v>7794604.2599999998</v>
      </c>
      <c r="D182" s="147">
        <f ca="1">IFERROR(VLOOKUP($A182,Resultat2021!$B$11:$J$400,4,FALSE),"")</f>
        <v>7981540</v>
      </c>
      <c r="E182" s="147">
        <f ca="1">IFERROR(VLOOKUP($A182,Resultat2022!$B$11:$J$400,3,FALSE),"")</f>
        <v>9047429.5599999987</v>
      </c>
      <c r="F182" s="147">
        <f ca="1">IFERROR(VLOOKUP($A182,Resultat2022!$B$11:$J$400,4,FALSE),"")</f>
        <v>8570100</v>
      </c>
      <c r="G182" s="147">
        <f ca="1">IFERROR(VLOOKUP($A182,Resultat2023!$B$11:$J$400,3,FALSE),"")</f>
        <v>11537935.27</v>
      </c>
      <c r="H182" s="147">
        <f ca="1">IFERROR(VLOOKUP($A182,Resultat2023!$B$11:$J$400,4,FALSE),"")</f>
        <v>7811400</v>
      </c>
      <c r="I182" s="147">
        <f ca="1">IFERROR(VLOOKUP($A182,Budsjett2024!$B$11:$J$400,3,FALSE),"")</f>
        <v>11722739.969999999</v>
      </c>
    </row>
    <row r="183" spans="1:9" hidden="1" outlineLevel="2">
      <c r="A183" s="28">
        <v>7500</v>
      </c>
      <c r="B183" s="132" t="s">
        <v>196</v>
      </c>
      <c r="C183" s="146">
        <f ca="1">IFERROR(VLOOKUP($A183,Resultat2021!$B$11:$J$400,3,FALSE),"")</f>
        <v>109305</v>
      </c>
      <c r="D183" s="146">
        <f ca="1">IFERROR(VLOOKUP($A183,Resultat2021!$B$11:$J$400,4,FALSE),"")</f>
        <v>63000</v>
      </c>
      <c r="E183" s="146">
        <f ca="1">IFERROR(VLOOKUP($A183,Resultat2022!$B$11:$J$400,3,FALSE),"")</f>
        <v>2218</v>
      </c>
      <c r="F183" s="146">
        <f ca="1">IFERROR(VLOOKUP($A183,Resultat2022!$B$11:$J$400,4,FALSE),"")</f>
        <v>66000</v>
      </c>
      <c r="G183" s="146">
        <f ca="1">IFERROR(VLOOKUP($A183,Resultat2023!$B$11:$J$400,3,FALSE),"")</f>
        <v>64004</v>
      </c>
      <c r="H183" s="146">
        <f ca="1">IFERROR(VLOOKUP($A183,Resultat2023!$B$11:$J$400,4,FALSE),"")</f>
        <v>16000</v>
      </c>
      <c r="I183" s="146">
        <f ca="1">IFERROR(VLOOKUP($A183,Budsjett2024!$B$11:$J$400,3,FALSE),"")</f>
        <v>48985.64</v>
      </c>
    </row>
    <row r="184" spans="1:9" hidden="1" outlineLevel="2">
      <c r="A184" s="28">
        <v>7510</v>
      </c>
      <c r="B184" s="132" t="s">
        <v>197</v>
      </c>
      <c r="C184" s="146">
        <f ca="1">IFERROR(VLOOKUP($A184,Resultat2021!$B$11:$J$400,3,FALSE),"")</f>
        <v>29926</v>
      </c>
      <c r="D184" s="146">
        <f ca="1">IFERROR(VLOOKUP($A184,Resultat2021!$B$11:$J$400,4,FALSE),"")</f>
        <v>0</v>
      </c>
      <c r="E184" s="146">
        <f ca="1">IFERROR(VLOOKUP($A184,Resultat2022!$B$11:$J$400,3,FALSE),"")</f>
        <v>30944</v>
      </c>
      <c r="F184" s="146">
        <f ca="1">IFERROR(VLOOKUP($A184,Resultat2022!$B$11:$J$400,4,FALSE),"")</f>
        <v>30000</v>
      </c>
      <c r="G184" s="146">
        <f ca="1">IFERROR(VLOOKUP($A184,Resultat2023!$B$11:$J$400,3,FALSE),"")</f>
        <v>32956</v>
      </c>
      <c r="H184" s="146">
        <f ca="1">IFERROR(VLOOKUP($A184,Resultat2023!$B$11:$J$400,4,FALSE),"")</f>
        <v>60000</v>
      </c>
      <c r="I184" s="146">
        <f ca="1">IFERROR(VLOOKUP($A184,Budsjett2024!$B$11:$J$400,3,FALSE),"")</f>
        <v>41890.639999999999</v>
      </c>
    </row>
    <row r="185" spans="1:9" hidden="1" outlineLevel="1">
      <c r="A185" s="35" t="str">
        <f>"    "&amp;"Forsikringspremie, garanti- og servicekostnad"</f>
        <v xml:space="preserve">    Forsikringspremie, garanti- og servicekostnad</v>
      </c>
      <c r="B185" s="35"/>
      <c r="C185" s="147">
        <f ca="1">IFERROR(VLOOKUP($A185,Resultat2021!$B$11:$J$400,3,FALSE),"")</f>
        <v>139231</v>
      </c>
      <c r="D185" s="147">
        <f ca="1">IFERROR(VLOOKUP($A185,Resultat2021!$B$11:$J$400,4,FALSE),"")</f>
        <v>63000</v>
      </c>
      <c r="E185" s="147">
        <f ca="1">IFERROR(VLOOKUP($A185,Resultat2022!$B$11:$J$400,3,FALSE),"")</f>
        <v>33162</v>
      </c>
      <c r="F185" s="147">
        <f ca="1">IFERROR(VLOOKUP($A185,Resultat2022!$B$11:$J$400,4,FALSE),"")</f>
        <v>96000</v>
      </c>
      <c r="G185" s="147">
        <f ca="1">IFERROR(VLOOKUP($A185,Resultat2023!$B$11:$J$400,3,FALSE),"")</f>
        <v>96960</v>
      </c>
      <c r="H185" s="147">
        <f ca="1">IFERROR(VLOOKUP($A185,Resultat2023!$B$11:$J$400,4,FALSE),"")</f>
        <v>76000</v>
      </c>
      <c r="I185" s="147">
        <f ca="1">IFERROR(VLOOKUP($A185,Budsjett2024!$B$11:$J$400,3,FALSE),"")</f>
        <v>90876.28</v>
      </c>
    </row>
    <row r="186" spans="1:9" hidden="1" outlineLevel="2">
      <c r="A186" s="28">
        <v>7200</v>
      </c>
      <c r="B186" s="132" t="s">
        <v>198</v>
      </c>
      <c r="C186" s="146">
        <f ca="1">IFERROR(VLOOKUP($A186,Resultat2021!$B$11:$J$400,3,FALSE),"")</f>
        <v>0</v>
      </c>
      <c r="D186" s="146">
        <f ca="1">IFERROR(VLOOKUP($A186,Resultat2021!$B$11:$J$400,4,FALSE),"")</f>
        <v>25000</v>
      </c>
      <c r="E186" s="146">
        <f ca="1">IFERROR(VLOOKUP($A186,Resultat2022!$B$11:$J$400,3,FALSE),"")</f>
        <v>0</v>
      </c>
      <c r="F186" s="146">
        <f ca="1">IFERROR(VLOOKUP($A186,Resultat2022!$B$11:$J$400,4,FALSE),"")</f>
        <v>25000</v>
      </c>
      <c r="G186" s="146" t="str">
        <f ca="1">IFERROR(VLOOKUP($A186,Resultat2023!$B$11:$J$400,3,FALSE),"")</f>
        <v/>
      </c>
      <c r="H186" s="146" t="str">
        <f ca="1">IFERROR(VLOOKUP($A186,Resultat2023!$B$11:$J$400,4,FALSE),"")</f>
        <v/>
      </c>
      <c r="I186" s="146" t="str">
        <f ca="1">IFERROR(VLOOKUP($A186,Budsjett2024!$B$11:$J$400,3,FALSE),"")</f>
        <v/>
      </c>
    </row>
    <row r="187" spans="1:9" hidden="1" outlineLevel="2">
      <c r="A187" s="28">
        <v>7700</v>
      </c>
      <c r="B187" s="132" t="s">
        <v>199</v>
      </c>
      <c r="C187" s="146">
        <f ca="1">IFERROR(VLOOKUP($A187,Resultat2021!$B$11:$J$400,3,FALSE),"")</f>
        <v>727071.6</v>
      </c>
      <c r="D187" s="146">
        <f ca="1">IFERROR(VLOOKUP($A187,Resultat2021!$B$11:$J$400,4,FALSE),"")</f>
        <v>796000</v>
      </c>
      <c r="E187" s="146">
        <f ca="1">IFERROR(VLOOKUP($A187,Resultat2022!$B$11:$J$400,3,FALSE),"")</f>
        <v>1127825.95</v>
      </c>
      <c r="F187" s="146">
        <f ca="1">IFERROR(VLOOKUP($A187,Resultat2022!$B$11:$J$400,4,FALSE),"")</f>
        <v>826000</v>
      </c>
      <c r="G187" s="146">
        <f ca="1">IFERROR(VLOOKUP($A187,Resultat2023!$B$11:$J$400,3,FALSE),"")</f>
        <v>1122194.0900000001</v>
      </c>
      <c r="H187" s="146">
        <f ca="1">IFERROR(VLOOKUP($A187,Resultat2023!$B$11:$J$400,4,FALSE),"")</f>
        <v>1025000</v>
      </c>
      <c r="I187" s="146">
        <f ca="1">IFERROR(VLOOKUP($A187,Budsjett2024!$B$11:$J$400,3,FALSE),"")</f>
        <v>804010.43</v>
      </c>
    </row>
    <row r="188" spans="1:9" hidden="1" outlineLevel="2">
      <c r="A188" s="28">
        <v>7710</v>
      </c>
      <c r="B188" s="132" t="s">
        <v>200</v>
      </c>
      <c r="C188" s="146">
        <f ca="1">IFERROR(VLOOKUP($A188,Resultat2021!$B$11:$J$400,3,FALSE),"")</f>
        <v>64810.8</v>
      </c>
      <c r="D188" s="146">
        <f ca="1">IFERROR(VLOOKUP($A188,Resultat2021!$B$11:$J$400,4,FALSE),"")</f>
        <v>64800</v>
      </c>
      <c r="E188" s="146">
        <f ca="1">IFERROR(VLOOKUP($A188,Resultat2022!$B$11:$J$400,3,FALSE),"")</f>
        <v>882646.5</v>
      </c>
      <c r="F188" s="146">
        <f ca="1">IFERROR(VLOOKUP($A188,Resultat2022!$B$11:$J$400,4,FALSE),"")</f>
        <v>830000</v>
      </c>
      <c r="G188" s="146">
        <f ca="1">IFERROR(VLOOKUP($A188,Resultat2023!$B$11:$J$400,3,FALSE),"")</f>
        <v>0</v>
      </c>
      <c r="H188" s="146">
        <f ca="1">IFERROR(VLOOKUP($A188,Resultat2023!$B$11:$J$400,4,FALSE),"")</f>
        <v>193000</v>
      </c>
      <c r="I188" s="146">
        <f ca="1">IFERROR(VLOOKUP($A188,Budsjett2024!$B$11:$J$400,3,FALSE),"")</f>
        <v>1335000</v>
      </c>
    </row>
    <row r="189" spans="1:9" hidden="1" outlineLevel="2">
      <c r="A189" s="28">
        <v>7720</v>
      </c>
      <c r="B189" s="132" t="s">
        <v>201</v>
      </c>
      <c r="C189" s="146">
        <f ca="1">IFERROR(VLOOKUP($A189,Resultat2021!$B$11:$J$400,3,FALSE),"")</f>
        <v>421632.69</v>
      </c>
      <c r="D189" s="146">
        <f ca="1">IFERROR(VLOOKUP($A189,Resultat2021!$B$11:$J$400,4,FALSE),"")</f>
        <v>84000</v>
      </c>
      <c r="E189" s="146">
        <f ca="1">IFERROR(VLOOKUP($A189,Resultat2022!$B$11:$J$400,3,FALSE),"")</f>
        <v>1401089.36</v>
      </c>
      <c r="F189" s="146">
        <f ca="1">IFERROR(VLOOKUP($A189,Resultat2022!$B$11:$J$400,4,FALSE),"")</f>
        <v>740000</v>
      </c>
      <c r="G189" s="146">
        <f ca="1">IFERROR(VLOOKUP($A189,Resultat2023!$B$11:$J$400,3,FALSE),"")</f>
        <v>3764992.88</v>
      </c>
      <c r="H189" s="146">
        <f ca="1">IFERROR(VLOOKUP($A189,Resultat2023!$B$11:$J$400,4,FALSE),"")</f>
        <v>2758200</v>
      </c>
      <c r="I189" s="146">
        <f ca="1">IFERROR(VLOOKUP($A189,Budsjett2024!$B$11:$J$400,3,FALSE),"")</f>
        <v>2707908</v>
      </c>
    </row>
    <row r="190" spans="1:9" hidden="1" outlineLevel="2">
      <c r="A190" s="28">
        <v>7770</v>
      </c>
      <c r="B190" s="132" t="s">
        <v>202</v>
      </c>
      <c r="C190" s="146">
        <f ca="1">IFERROR(VLOOKUP($A190,Resultat2021!$B$11:$J$400,3,FALSE),"")</f>
        <v>53256.18</v>
      </c>
      <c r="D190" s="146">
        <f ca="1">IFERROR(VLOOKUP($A190,Resultat2021!$B$11:$J$400,4,FALSE),"")</f>
        <v>30000</v>
      </c>
      <c r="E190" s="146">
        <f ca="1">IFERROR(VLOOKUP($A190,Resultat2022!$B$11:$J$400,3,FALSE),"")</f>
        <v>155039.43</v>
      </c>
      <c r="F190" s="146">
        <f ca="1">IFERROR(VLOOKUP($A190,Resultat2022!$B$11:$J$400,4,FALSE),"")</f>
        <v>33000</v>
      </c>
      <c r="G190" s="146">
        <f ca="1">IFERROR(VLOOKUP($A190,Resultat2023!$B$11:$J$400,3,FALSE),"")</f>
        <v>71135.5</v>
      </c>
      <c r="H190" s="146">
        <f ca="1">IFERROR(VLOOKUP($A190,Resultat2023!$B$11:$J$400,4,FALSE),"")</f>
        <v>114000</v>
      </c>
      <c r="I190" s="146">
        <f ca="1">IFERROR(VLOOKUP($A190,Budsjett2024!$B$11:$J$400,3,FALSE),"")</f>
        <v>76103.69</v>
      </c>
    </row>
    <row r="191" spans="1:9" hidden="1" outlineLevel="2">
      <c r="A191" s="28">
        <v>7771</v>
      </c>
      <c r="B191" s="132" t="s">
        <v>203</v>
      </c>
      <c r="C191" s="146" t="str">
        <f ca="1">IFERROR(VLOOKUP($A191,Resultat2021!$B$11:$J$400,3,FALSE),"")</f>
        <v/>
      </c>
      <c r="D191" s="146" t="str">
        <f ca="1">IFERROR(VLOOKUP($A191,Resultat2021!$B$11:$J$400,4,FALSE),"")</f>
        <v/>
      </c>
      <c r="E191" s="146" t="str">
        <f ca="1">IFERROR(VLOOKUP($A191,Resultat2022!$B$11:$J$400,3,FALSE),"")</f>
        <v/>
      </c>
      <c r="F191" s="146" t="str">
        <f ca="1">IFERROR(VLOOKUP($A191,Resultat2022!$B$11:$J$400,4,FALSE),"")</f>
        <v/>
      </c>
      <c r="G191" s="146">
        <f ca="1">IFERROR(VLOOKUP($A191,Resultat2023!$B$11:$J$400,3,FALSE),"")</f>
        <v>123130.16</v>
      </c>
      <c r="H191" s="146">
        <f ca="1">IFERROR(VLOOKUP($A191,Resultat2023!$B$11:$J$400,4,FALSE),"")</f>
        <v>0</v>
      </c>
      <c r="I191" s="146">
        <f ca="1">IFERROR(VLOOKUP($A191,Budsjett2024!$B$11:$J$400,3,FALSE),"")</f>
        <v>83000</v>
      </c>
    </row>
    <row r="192" spans="1:9" hidden="1" outlineLevel="2">
      <c r="A192" s="28">
        <v>7790</v>
      </c>
      <c r="B192" s="132" t="s">
        <v>204</v>
      </c>
      <c r="C192" s="146">
        <f ca="1">IFERROR(VLOOKUP($A192,Resultat2021!$B$11:$J$400,3,FALSE),"")</f>
        <v>10660.59</v>
      </c>
      <c r="D192" s="146">
        <f ca="1">IFERROR(VLOOKUP($A192,Resultat2021!$B$11:$J$400,4,FALSE),"")</f>
        <v>145470</v>
      </c>
      <c r="E192" s="146">
        <f ca="1">IFERROR(VLOOKUP($A192,Resultat2022!$B$11:$J$400,3,FALSE),"")</f>
        <v>38068.080000000002</v>
      </c>
      <c r="F192" s="146">
        <f ca="1">IFERROR(VLOOKUP($A192,Resultat2022!$B$11:$J$400,4,FALSE),"")</f>
        <v>108900</v>
      </c>
      <c r="G192" s="146">
        <f ca="1">IFERROR(VLOOKUP($A192,Resultat2023!$B$11:$J$400,3,FALSE),"")</f>
        <v>11250.97</v>
      </c>
      <c r="H192" s="146">
        <f ca="1">IFERROR(VLOOKUP($A192,Resultat2023!$B$11:$J$400,4,FALSE),"")</f>
        <v>43632</v>
      </c>
      <c r="I192" s="146">
        <f ca="1">IFERROR(VLOOKUP($A192,Budsjett2024!$B$11:$J$400,3,FALSE),"")</f>
        <v>136593.5</v>
      </c>
    </row>
    <row r="193" spans="1:12" hidden="1" outlineLevel="2">
      <c r="A193" s="28">
        <v>7791</v>
      </c>
      <c r="B193" s="132" t="s">
        <v>205</v>
      </c>
      <c r="C193" s="146" t="str">
        <f ca="1">IFERROR(VLOOKUP($A193,Resultat2021!$B$11:$J$400,3,FALSE),"")</f>
        <v/>
      </c>
      <c r="D193" s="146" t="str">
        <f ca="1">IFERROR(VLOOKUP($A193,Resultat2021!$B$11:$J$400,4,FALSE),"")</f>
        <v/>
      </c>
      <c r="E193" s="146" t="str">
        <f ca="1">IFERROR(VLOOKUP($A193,Resultat2022!$B$11:$J$400,3,FALSE),"")</f>
        <v/>
      </c>
      <c r="F193" s="146" t="str">
        <f ca="1">IFERROR(VLOOKUP($A193,Resultat2022!$B$11:$J$400,4,FALSE),"")</f>
        <v/>
      </c>
      <c r="G193" s="146">
        <f ca="1">IFERROR(VLOOKUP($A193,Resultat2023!$B$11:$J$400,3,FALSE),"")</f>
        <v>1177</v>
      </c>
      <c r="H193" s="146">
        <f ca="1">IFERROR(VLOOKUP($A193,Resultat2023!$B$11:$J$400,4,FALSE),"")</f>
        <v>0</v>
      </c>
      <c r="I193" s="146">
        <f ca="1">IFERROR(VLOOKUP($A193,Budsjett2024!$B$11:$J$400,3,FALSE),"")</f>
        <v>0</v>
      </c>
    </row>
    <row r="194" spans="1:12" hidden="1" outlineLevel="2">
      <c r="A194" s="28">
        <v>7792</v>
      </c>
      <c r="B194" s="132" t="s">
        <v>206</v>
      </c>
      <c r="C194" s="146">
        <f ca="1">IFERROR(VLOOKUP($A194,Resultat2021!$B$11:$J$400,3,FALSE),"")</f>
        <v>34301</v>
      </c>
      <c r="D194" s="146">
        <f ca="1">IFERROR(VLOOKUP($A194,Resultat2021!$B$11:$J$400,4,FALSE),"")</f>
        <v>12900.4</v>
      </c>
      <c r="E194" s="146">
        <f ca="1">IFERROR(VLOOKUP($A194,Resultat2022!$B$11:$J$400,3,FALSE),"")</f>
        <v>29645.9</v>
      </c>
      <c r="F194" s="146">
        <f ca="1">IFERROR(VLOOKUP($A194,Resultat2022!$B$11:$J$400,4,FALSE),"")</f>
        <v>11000</v>
      </c>
      <c r="G194" s="146">
        <f ca="1">IFERROR(VLOOKUP($A194,Resultat2023!$B$11:$J$400,3,FALSE),"")</f>
        <v>27647.119999999999</v>
      </c>
      <c r="H194" s="146">
        <f ca="1">IFERROR(VLOOKUP($A194,Resultat2023!$B$11:$J$400,4,FALSE),"")</f>
        <v>18500</v>
      </c>
      <c r="I194" s="146">
        <f ca="1">IFERROR(VLOOKUP($A194,Budsjett2024!$B$11:$J$400,3,FALSE),"")</f>
        <v>42064.62</v>
      </c>
    </row>
    <row r="195" spans="1:12" hidden="1" outlineLevel="1">
      <c r="A195" s="35" t="str">
        <f>"    "&amp;"Annen kostnad"</f>
        <v xml:space="preserve">    Annen kostnad</v>
      </c>
      <c r="B195" s="35"/>
      <c r="C195" s="147">
        <f ca="1">IFERROR(VLOOKUP($A195,Resultat2021!$B$11:$J$400,3,FALSE),"")</f>
        <v>1311732.8600000001</v>
      </c>
      <c r="D195" s="147">
        <f ca="1">IFERROR(VLOOKUP($A195,Resultat2021!$B$11:$J$400,4,FALSE),"")</f>
        <v>1158170.3999999999</v>
      </c>
      <c r="E195" s="147">
        <f ca="1">IFERROR(VLOOKUP($A195,Resultat2022!$B$11:$J$400,3,FALSE),"")</f>
        <v>3634315.22</v>
      </c>
      <c r="F195" s="147">
        <f ca="1">IFERROR(VLOOKUP($A195,Resultat2022!$B$11:$J$400,4,FALSE),"")</f>
        <v>2573900</v>
      </c>
      <c r="G195" s="147">
        <f ca="1">IFERROR(VLOOKUP($A195,Resultat2023!$B$11:$J$400,3,FALSE),"")</f>
        <v>5121527.72</v>
      </c>
      <c r="H195" s="147">
        <f ca="1">IFERROR(VLOOKUP($A195,Resultat2023!$B$11:$J$400,4,FALSE),"")</f>
        <v>4152332</v>
      </c>
      <c r="I195" s="147">
        <f ca="1">IFERROR(VLOOKUP($A195,Budsjett2024!$B$11:$J$400,3,FALSE),"")</f>
        <v>5184680.24</v>
      </c>
    </row>
    <row r="196" spans="1:12" hidden="1" outlineLevel="2">
      <c r="A196" s="28">
        <v>7830</v>
      </c>
      <c r="B196" s="132" t="s">
        <v>207</v>
      </c>
      <c r="C196" s="146">
        <f ca="1">IFERROR(VLOOKUP($A196,Resultat2021!$B$11:$J$400,3,FALSE),"")</f>
        <v>178621.51</v>
      </c>
      <c r="D196" s="146">
        <f ca="1">IFERROR(VLOOKUP($A196,Resultat2021!$B$11:$J$400,4,FALSE),"")</f>
        <v>0</v>
      </c>
      <c r="E196" s="146">
        <f ca="1">IFERROR(VLOOKUP($A196,Resultat2022!$B$11:$J$400,3,FALSE),"")</f>
        <v>200</v>
      </c>
      <c r="F196" s="146">
        <f ca="1">IFERROR(VLOOKUP($A196,Resultat2022!$B$11:$J$400,4,FALSE),"")</f>
        <v>0</v>
      </c>
      <c r="G196" s="146">
        <f ca="1">IFERROR(VLOOKUP($A196,Resultat2023!$B$11:$J$400,3,FALSE),"")</f>
        <v>0</v>
      </c>
      <c r="H196" s="146">
        <f ca="1">IFERROR(VLOOKUP($A196,Resultat2023!$B$11:$J$400,4,FALSE),"")</f>
        <v>0</v>
      </c>
      <c r="I196" s="146" t="str">
        <f ca="1">IFERROR(VLOOKUP($A196,Budsjett2024!$B$11:$J$400,3,FALSE),"")</f>
        <v/>
      </c>
    </row>
    <row r="197" spans="1:12" hidden="1" outlineLevel="2">
      <c r="A197" s="28">
        <v>7831</v>
      </c>
      <c r="B197" s="132" t="s">
        <v>208</v>
      </c>
      <c r="C197" s="146">
        <f ca="1">IFERROR(VLOOKUP($A197,Resultat2021!$B$11:$J$400,3,FALSE),"")</f>
        <v>-195461.73</v>
      </c>
      <c r="D197" s="146">
        <f ca="1">IFERROR(VLOOKUP($A197,Resultat2021!$B$11:$J$400,4,FALSE),"")</f>
        <v>0</v>
      </c>
      <c r="E197" s="146">
        <f ca="1">IFERROR(VLOOKUP($A197,Resultat2022!$B$11:$J$400,3,FALSE),"")</f>
        <v>0</v>
      </c>
      <c r="F197" s="146">
        <f ca="1">IFERROR(VLOOKUP($A197,Resultat2022!$B$11:$J$400,4,FALSE),"")</f>
        <v>0</v>
      </c>
      <c r="G197" s="146" t="str">
        <f ca="1">IFERROR(VLOOKUP($A197,Resultat2023!$B$11:$J$400,3,FALSE),"")</f>
        <v/>
      </c>
      <c r="H197" s="146" t="str">
        <f ca="1">IFERROR(VLOOKUP($A197,Resultat2023!$B$11:$J$400,4,FALSE),"")</f>
        <v/>
      </c>
      <c r="I197" s="146" t="str">
        <f ca="1">IFERROR(VLOOKUP($A197,Budsjett2024!$B$11:$J$400,3,FALSE),"")</f>
        <v/>
      </c>
    </row>
    <row r="198" spans="1:12" hidden="1" outlineLevel="1">
      <c r="A198" s="35" t="str">
        <f>"    "&amp;"Tap o.l."</f>
        <v xml:space="preserve">    Tap o.l.</v>
      </c>
      <c r="B198" s="35"/>
      <c r="C198" s="147">
        <f ca="1">IFERROR(VLOOKUP($A198,Resultat2021!$B$11:$J$400,3,FALSE),"")</f>
        <v>-16840.22</v>
      </c>
      <c r="D198" s="147">
        <f ca="1">IFERROR(VLOOKUP($A198,Resultat2021!$B$11:$J$400,4,FALSE),"")</f>
        <v>0</v>
      </c>
      <c r="E198" s="147">
        <f ca="1">IFERROR(VLOOKUP($A198,Resultat2022!$B$11:$J$400,3,FALSE),"")</f>
        <v>200</v>
      </c>
      <c r="F198" s="147">
        <f ca="1">IFERROR(VLOOKUP($A198,Resultat2022!$B$11:$J$400,4,FALSE),"")</f>
        <v>0</v>
      </c>
      <c r="G198" s="147">
        <f ca="1">IFERROR(VLOOKUP($A198,Resultat2023!$B$11:$J$400,3,FALSE),"")</f>
        <v>0</v>
      </c>
      <c r="H198" s="147">
        <f ca="1">IFERROR(VLOOKUP($A198,Resultat2023!$B$11:$J$400,4,FALSE),"")</f>
        <v>0</v>
      </c>
      <c r="I198" s="147" t="str">
        <f ca="1">IFERROR(VLOOKUP($A198,Budsjett2024!$B$11:$J$400,3,FALSE),"")</f>
        <v/>
      </c>
    </row>
    <row r="199" spans="1:12" collapsed="1">
      <c r="A199" s="41" t="s">
        <v>18</v>
      </c>
      <c r="B199" s="133"/>
      <c r="C199" s="148">
        <f ca="1">IFERROR(VLOOKUP($A199,Resultat2021!$B$11:$J$400,3,FALSE),"")</f>
        <v>24399167.039999999</v>
      </c>
      <c r="D199" s="148">
        <f ca="1">IFERROR(VLOOKUP($A199,Resultat2021!$B$11:$J$400,4,FALSE),"")</f>
        <v>26773070.399999999</v>
      </c>
      <c r="E199" s="148">
        <f ca="1">IFERROR(VLOOKUP($A199,Resultat2022!$B$11:$J$400,3,FALSE),"")</f>
        <v>27921093.679999996</v>
      </c>
      <c r="F199" s="148">
        <f ca="1">IFERROR(VLOOKUP($A199,Resultat2022!$B$11:$J$400,4,FALSE),"")</f>
        <v>30938600.009999998</v>
      </c>
      <c r="G199" s="148">
        <f ca="1">IFERROR(VLOOKUP($A199,Resultat2023!$B$11:$J$400,3,FALSE),"")</f>
        <v>33151002.069999997</v>
      </c>
      <c r="H199" s="148">
        <f ca="1">IFERROR(VLOOKUP($A199,Resultat2023!$B$11:$J$400,4,FALSE),"")</f>
        <v>30623552.009999998</v>
      </c>
      <c r="I199" s="148">
        <f ca="1">IFERROR(VLOOKUP($A199,Budsjett2024!$B$11:$J$400,3,FALSE),"")</f>
        <v>36498578.289999999</v>
      </c>
    </row>
    <row r="200" spans="1:12">
      <c r="A200" s="48" t="s">
        <v>19</v>
      </c>
      <c r="B200" s="134"/>
      <c r="C200" s="145">
        <f ca="1">IFERROR(VLOOKUP($A200,Resultat2021!$B$11:$J$400,3,FALSE),"")</f>
        <v>40676648.359999999</v>
      </c>
      <c r="D200" s="145">
        <f ca="1">IFERROR(VLOOKUP($A200,Resultat2021!$B$11:$J$400,4,FALSE),"")</f>
        <v>44088059.714537993</v>
      </c>
      <c r="E200" s="145">
        <f ca="1">IFERROR(VLOOKUP($A200,Resultat2022!$B$11:$J$400,3,FALSE),"")</f>
        <v>45013574.00999999</v>
      </c>
      <c r="F200" s="145">
        <f ca="1">IFERROR(VLOOKUP($A200,Resultat2022!$B$11:$J$400,4,FALSE),"")</f>
        <v>49228600.012254998</v>
      </c>
      <c r="G200" s="145">
        <f ca="1">IFERROR(VLOOKUP($A200,Resultat2023!$B$11:$J$400,3,FALSE),"")</f>
        <v>53043971.729999997</v>
      </c>
      <c r="H200" s="145">
        <f ca="1">IFERROR(VLOOKUP($A200,Resultat2023!$B$11:$J$400,4,FALSE),"")</f>
        <v>52345550.265138999</v>
      </c>
      <c r="I200" s="145">
        <f ca="1">IFERROR(VLOOKUP($A200,Budsjett2024!$B$11:$J$400,3,FALSE),"")</f>
        <v>59641589.363435</v>
      </c>
    </row>
    <row r="201" spans="1:12">
      <c r="A201" s="57"/>
      <c r="B201" s="57"/>
      <c r="C201" s="149" t="str">
        <f ca="1">IFERROR(VLOOKUP($A201,Resultat2021!$B$11:$J$400,3,FALSE),"")</f>
        <v/>
      </c>
      <c r="D201" s="149" t="str">
        <f ca="1">IFERROR(VLOOKUP($A201,Resultat2021!$B$11:$J$400,4,FALSE),"")</f>
        <v/>
      </c>
      <c r="E201" s="149" t="str">
        <f ca="1">IFERROR(VLOOKUP($A201,Resultat2022!$B$11:$J$400,3,FALSE),"")</f>
        <v/>
      </c>
      <c r="F201" s="149" t="str">
        <f ca="1">IFERROR(VLOOKUP($A201,Resultat2022!$B$11:$J$400,4,FALSE),"")</f>
        <v/>
      </c>
      <c r="G201" s="149" t="str">
        <f ca="1">IFERROR(VLOOKUP($A201,Resultat2023!$B$11:$J$400,3,FALSE),"")</f>
        <v/>
      </c>
      <c r="H201" s="149" t="str">
        <f ca="1">IFERROR(VLOOKUP($A201,Resultat2023!$B$11:$J$400,4,FALSE),"")</f>
        <v/>
      </c>
      <c r="I201" s="149" t="str">
        <f ca="1">IFERROR(VLOOKUP($A201,Budsjett2024!$B$11:$J$400,3,FALSE),"")</f>
        <v/>
      </c>
    </row>
    <row r="202" spans="1:12" ht="15.6">
      <c r="A202" s="64" t="s">
        <v>209</v>
      </c>
      <c r="B202" s="64"/>
      <c r="C202" s="150">
        <f ca="1">IFERROR(VLOOKUP($A202,Resultat2021!$B$11:$J$400,3,FALSE),"")</f>
        <v>2935347.1499999985</v>
      </c>
      <c r="D202" s="150">
        <f ca="1">IFERROR(VLOOKUP($A202,Resultat2021!$B$11:$J$400,4,FALSE),"")</f>
        <v>-1429000.7145379931</v>
      </c>
      <c r="E202" s="150">
        <f ca="1">IFERROR(VLOOKUP($A202,Resultat2022!$B$11:$J$400,3,FALSE),"")</f>
        <v>9600.1400000154972</v>
      </c>
      <c r="F202" s="150">
        <f ca="1">IFERROR(VLOOKUP($A202,Resultat2022!$B$11:$J$400,4,FALSE),"")</f>
        <v>-819999.93225499988</v>
      </c>
      <c r="G202" s="150">
        <f ca="1">IFERROR(VLOOKUP($A202,Resultat2023!$B$11:$J$400,3,FALSE),"")</f>
        <v>-2290648.5800000057</v>
      </c>
      <c r="H202" s="150">
        <f ca="1">IFERROR(VLOOKUP($A202,Resultat2023!$B$11:$J$400,4,FALSE),"")</f>
        <v>-4830000.1851390004</v>
      </c>
      <c r="I202" s="150">
        <f ca="1">IFERROR(VLOOKUP($A202,Budsjett2024!$B$11:$J$400,3,FALSE),"")</f>
        <v>-9263114.3634350002</v>
      </c>
      <c r="K202" s="159"/>
      <c r="L202" s="159"/>
    </row>
    <row r="203" spans="1:12">
      <c r="A203" s="27"/>
      <c r="B203" s="110"/>
      <c r="C203" s="151" t="str">
        <f ca="1">IFERROR(VLOOKUP($A203,Resultat2021!$B$11:$J$400,3,FALSE),"")</f>
        <v/>
      </c>
      <c r="D203" s="151" t="str">
        <f ca="1">IFERROR(VLOOKUP($A203,Resultat2021!$B$11:$J$400,4,FALSE),"")</f>
        <v/>
      </c>
      <c r="E203" s="151" t="str">
        <f ca="1">IFERROR(VLOOKUP($A203,Resultat2022!$B$11:$J$400,3,FALSE),"")</f>
        <v/>
      </c>
      <c r="F203" s="151" t="str">
        <f ca="1">IFERROR(VLOOKUP($A203,Resultat2022!$B$11:$J$400,4,FALSE),"")</f>
        <v/>
      </c>
      <c r="G203" s="151" t="str">
        <f ca="1">IFERROR(VLOOKUP($A203,Resultat2023!$B$11:$J$400,3,FALSE),"")</f>
        <v/>
      </c>
      <c r="H203" s="151" t="str">
        <f ca="1">IFERROR(VLOOKUP($A203,Resultat2023!$B$11:$J$400,4,FALSE),"")</f>
        <v/>
      </c>
      <c r="I203" s="151" t="str">
        <f ca="1">IFERROR(VLOOKUP($A203,Budsjett2024!$B$11:$J$400,3,FALSE),"")</f>
        <v/>
      </c>
      <c r="L203" s="159"/>
    </row>
    <row r="204" spans="1:12" hidden="1" outlineLevel="2">
      <c r="A204" s="28">
        <v>8050</v>
      </c>
      <c r="B204" s="132" t="s">
        <v>210</v>
      </c>
      <c r="C204" s="146">
        <f ca="1">IFERROR(VLOOKUP($A204,Resultat2021!$B$11:$J$400,3,FALSE),"")</f>
        <v>856042.65</v>
      </c>
      <c r="D204" s="146">
        <f ca="1">IFERROR(VLOOKUP($A204,Resultat2021!$B$11:$J$400,4,FALSE),"")</f>
        <v>0</v>
      </c>
      <c r="E204" s="146">
        <f ca="1">IFERROR(VLOOKUP($A204,Resultat2022!$B$11:$J$400,3,FALSE),"")</f>
        <v>1470474.21</v>
      </c>
      <c r="F204" s="146">
        <f ca="1">IFERROR(VLOOKUP($A204,Resultat2022!$B$11:$J$400,4,FALSE),"")</f>
        <v>0</v>
      </c>
      <c r="G204" s="146">
        <f ca="1">IFERROR(VLOOKUP($A204,Resultat2023!$B$11:$J$400,3,FALSE),"")</f>
        <v>1563390.09</v>
      </c>
      <c r="H204" s="146">
        <f ca="1">IFERROR(VLOOKUP($A204,Resultat2023!$B$11:$J$400,4,FALSE),"")</f>
        <v>0</v>
      </c>
      <c r="I204" s="146">
        <f ca="1">IFERROR(VLOOKUP($A204,Budsjett2024!$B$11:$J$400,3,FALSE),"")</f>
        <v>0</v>
      </c>
      <c r="L204" s="159"/>
    </row>
    <row r="205" spans="1:12" hidden="1" outlineLevel="2">
      <c r="A205" s="28">
        <v>8060</v>
      </c>
      <c r="B205" s="132" t="s">
        <v>211</v>
      </c>
      <c r="C205" s="146">
        <f ca="1">IFERROR(VLOOKUP($A205,Resultat2021!$B$11:$J$400,3,FALSE),"")</f>
        <v>10539.76</v>
      </c>
      <c r="D205" s="146">
        <f ca="1">IFERROR(VLOOKUP($A205,Resultat2021!$B$11:$J$400,4,FALSE),"")</f>
        <v>0</v>
      </c>
      <c r="E205" s="146">
        <f ca="1">IFERROR(VLOOKUP($A205,Resultat2022!$B$11:$J$400,3,FALSE),"")</f>
        <v>53230.26</v>
      </c>
      <c r="F205" s="146">
        <f ca="1">IFERROR(VLOOKUP($A205,Resultat2022!$B$11:$J$400,4,FALSE),"")</f>
        <v>0</v>
      </c>
      <c r="G205" s="146">
        <f ca="1">IFERROR(VLOOKUP($A205,Resultat2023!$B$11:$J$400,3,FALSE),"")</f>
        <v>22916.84</v>
      </c>
      <c r="H205" s="146">
        <f ca="1">IFERROR(VLOOKUP($A205,Resultat2023!$B$11:$J$400,4,FALSE),"")</f>
        <v>0</v>
      </c>
      <c r="I205" s="146">
        <f ca="1">IFERROR(VLOOKUP($A205,Budsjett2024!$B$11:$J$400,3,FALSE),"")</f>
        <v>7266.88</v>
      </c>
      <c r="L205" s="159"/>
    </row>
    <row r="206" spans="1:12" hidden="1" outlineLevel="2">
      <c r="A206" s="28">
        <v>8071</v>
      </c>
      <c r="B206" s="132" t="s">
        <v>212</v>
      </c>
      <c r="C206" s="146">
        <f ca="1">IFERROR(VLOOKUP($A206,Resultat2021!$B$11:$J$400,3,FALSE),"")</f>
        <v>291560.05</v>
      </c>
      <c r="D206" s="146">
        <f ca="1">IFERROR(VLOOKUP($A206,Resultat2021!$B$11:$J$400,4,FALSE),"")</f>
        <v>0</v>
      </c>
      <c r="E206" s="146">
        <f ca="1">IFERROR(VLOOKUP($A206,Resultat2022!$B$11:$J$400,3,FALSE),"")</f>
        <v>279733</v>
      </c>
      <c r="F206" s="146">
        <f ca="1">IFERROR(VLOOKUP($A206,Resultat2022!$B$11:$J$400,4,FALSE),"")</f>
        <v>0</v>
      </c>
      <c r="G206" s="146">
        <f ca="1">IFERROR(VLOOKUP($A206,Resultat2023!$B$11:$J$400,3,FALSE),"")</f>
        <v>174467</v>
      </c>
      <c r="H206" s="146">
        <f ca="1">IFERROR(VLOOKUP($A206,Resultat2023!$B$11:$J$400,4,FALSE),"")</f>
        <v>0</v>
      </c>
      <c r="I206" s="146">
        <f ca="1">IFERROR(VLOOKUP($A206,Budsjett2024!$B$11:$J$400,3,FALSE),"")</f>
        <v>174467</v>
      </c>
      <c r="L206" s="159"/>
    </row>
    <row r="207" spans="1:12" hidden="1" outlineLevel="2">
      <c r="A207" s="28">
        <v>8078</v>
      </c>
      <c r="B207" s="132" t="s">
        <v>213</v>
      </c>
      <c r="C207" s="146" t="str">
        <f ca="1">IFERROR(VLOOKUP($A207,Resultat2021!$B$11:$J$400,3,FALSE),"")</f>
        <v/>
      </c>
      <c r="D207" s="146" t="str">
        <f ca="1">IFERROR(VLOOKUP($A207,Resultat2021!$B$11:$J$400,4,FALSE),"")</f>
        <v/>
      </c>
      <c r="E207" s="146" t="str">
        <f ca="1">IFERROR(VLOOKUP($A207,Resultat2022!$B$11:$J$400,3,FALSE),"")</f>
        <v/>
      </c>
      <c r="F207" s="146" t="str">
        <f ca="1">IFERROR(VLOOKUP($A207,Resultat2022!$B$11:$J$400,4,FALSE),"")</f>
        <v/>
      </c>
      <c r="G207" s="146">
        <f ca="1">IFERROR(VLOOKUP($A207,Resultat2023!$B$11:$J$400,3,FALSE),"")</f>
        <v>570200.06999999995</v>
      </c>
      <c r="H207" s="146">
        <f ca="1">IFERROR(VLOOKUP($A207,Resultat2023!$B$11:$J$400,4,FALSE),"")</f>
        <v>0</v>
      </c>
      <c r="I207" s="146">
        <f ca="1">IFERROR(VLOOKUP($A207,Budsjett2024!$B$11:$J$400,3,FALSE),"")</f>
        <v>530079.37</v>
      </c>
      <c r="L207" s="159"/>
    </row>
    <row r="208" spans="1:12" hidden="1" outlineLevel="2">
      <c r="A208" s="28">
        <v>8080</v>
      </c>
      <c r="B208" s="132" t="s">
        <v>214</v>
      </c>
      <c r="C208" s="146">
        <f ca="1">IFERROR(VLOOKUP($A208,Resultat2021!$B$11:$J$400,3,FALSE),"")</f>
        <v>0</v>
      </c>
      <c r="D208" s="146">
        <f ca="1">IFERROR(VLOOKUP($A208,Resultat2021!$B$11:$J$400,4,FALSE),"")</f>
        <v>0</v>
      </c>
      <c r="E208" s="146" t="str">
        <f ca="1">IFERROR(VLOOKUP($A208,Resultat2022!$B$11:$J$400,3,FALSE),"")</f>
        <v/>
      </c>
      <c r="F208" s="146" t="str">
        <f ca="1">IFERROR(VLOOKUP($A208,Resultat2022!$B$11:$J$400,4,FALSE),"")</f>
        <v/>
      </c>
      <c r="G208" s="146">
        <f ca="1">IFERROR(VLOOKUP($A208,Resultat2023!$B$11:$J$400,3,FALSE),"")</f>
        <v>1824701.37</v>
      </c>
      <c r="H208" s="146">
        <f ca="1">IFERROR(VLOOKUP($A208,Resultat2023!$B$11:$J$400,4,FALSE),"")</f>
        <v>0</v>
      </c>
      <c r="I208" s="146" t="str">
        <f ca="1">IFERROR(VLOOKUP($A208,Budsjett2024!$B$11:$J$400,3,FALSE),"")</f>
        <v/>
      </c>
      <c r="L208" s="159"/>
    </row>
    <row r="209" spans="1:12" hidden="1" outlineLevel="2">
      <c r="A209" s="28">
        <v>8910</v>
      </c>
      <c r="B209" s="132" t="s">
        <v>215</v>
      </c>
      <c r="C209" s="146">
        <f ca="1">IFERROR(VLOOKUP($A209,Resultat2021!$B$11:$J$400,3,FALSE),"")</f>
        <v>0</v>
      </c>
      <c r="D209" s="146">
        <f ca="1">IFERROR(VLOOKUP($A209,Resultat2021!$B$11:$J$400,4,FALSE),"")</f>
        <v>1400000</v>
      </c>
      <c r="E209" s="146">
        <f ca="1">IFERROR(VLOOKUP($A209,Resultat2022!$B$11:$J$400,3,FALSE),"")</f>
        <v>0</v>
      </c>
      <c r="F209" s="146">
        <f ca="1">IFERROR(VLOOKUP($A209,Resultat2022!$B$11:$J$400,4,FALSE),"")</f>
        <v>170000</v>
      </c>
      <c r="G209" s="146">
        <f ca="1">IFERROR(VLOOKUP($A209,Resultat2023!$B$11:$J$400,3,FALSE),"")</f>
        <v>0</v>
      </c>
      <c r="H209" s="146">
        <f ca="1">IFERROR(VLOOKUP($A209,Resultat2023!$B$11:$J$400,4,FALSE),"")</f>
        <v>3530000</v>
      </c>
      <c r="I209" s="146">
        <f ca="1">IFERROR(VLOOKUP($A209,Budsjett2024!$B$11:$J$400,3,FALSE),"")</f>
        <v>7048858</v>
      </c>
      <c r="L209" s="159"/>
    </row>
    <row r="210" spans="1:12" hidden="1" outlineLevel="1">
      <c r="A210" s="35" t="str">
        <f>"    "&amp;"Finansinntekt"</f>
        <v xml:space="preserve">    Finansinntekt</v>
      </c>
      <c r="B210" s="35"/>
      <c r="C210" s="147">
        <f ca="1">IFERROR(VLOOKUP($A210,Resultat2021!$B$11:$J$400,3,FALSE),"")</f>
        <v>1158142.46</v>
      </c>
      <c r="D210" s="147">
        <f ca="1">IFERROR(VLOOKUP($A210,Resultat2021!$B$11:$J$400,4,FALSE),"")</f>
        <v>1400000</v>
      </c>
      <c r="E210" s="147">
        <f ca="1">IFERROR(VLOOKUP($A210,Resultat2022!$B$11:$J$400,3,FALSE),"")</f>
        <v>1803437.47</v>
      </c>
      <c r="F210" s="147">
        <f ca="1">IFERROR(VLOOKUP($A210,Resultat2022!$B$11:$J$400,4,FALSE),"")</f>
        <v>170000</v>
      </c>
      <c r="G210" s="147">
        <f ca="1">IFERROR(VLOOKUP($A210,Resultat2023!$B$11:$J$400,3,FALSE),"")</f>
        <v>4155675.37</v>
      </c>
      <c r="H210" s="147">
        <f ca="1">IFERROR(VLOOKUP($A210,Resultat2023!$B$11:$J$400,4,FALSE),"")</f>
        <v>3530000</v>
      </c>
      <c r="I210" s="147">
        <f ca="1">IFERROR(VLOOKUP($A210,Budsjett2024!$B$11:$J$400,3,FALSE),"")</f>
        <v>7760671.25</v>
      </c>
      <c r="L210" s="159"/>
    </row>
    <row r="211" spans="1:12" collapsed="1">
      <c r="A211" s="41" t="s">
        <v>216</v>
      </c>
      <c r="B211" s="133"/>
      <c r="C211" s="148">
        <f ca="1">IFERROR(VLOOKUP($A211,Resultat2021!$B$11:$J$400,3,FALSE),"")</f>
        <v>1158142.46</v>
      </c>
      <c r="D211" s="148">
        <f ca="1">IFERROR(VLOOKUP($A211,Resultat2021!$B$11:$J$400,4,FALSE),"")</f>
        <v>1400000</v>
      </c>
      <c r="E211" s="148">
        <f ca="1">IFERROR(VLOOKUP($A211,Resultat2022!$B$11:$J$400,3,FALSE),"")</f>
        <v>1803437.47</v>
      </c>
      <c r="F211" s="148">
        <f ca="1">IFERROR(VLOOKUP($A211,Resultat2022!$B$11:$J$400,4,FALSE),"")</f>
        <v>170000</v>
      </c>
      <c r="G211" s="148">
        <f ca="1">IFERROR(VLOOKUP($A211,Resultat2023!$B$11:$J$400,3,FALSE),"")</f>
        <v>4155675.37</v>
      </c>
      <c r="H211" s="148">
        <f ca="1">IFERROR(VLOOKUP($A211,Resultat2023!$B$11:$J$400,4,FALSE),"")</f>
        <v>3530000</v>
      </c>
      <c r="I211" s="148">
        <f ca="1">IFERROR(VLOOKUP($A211,Budsjett2024!$B$11:$J$400,3,FALSE),"")</f>
        <v>7760671.25</v>
      </c>
      <c r="L211" s="159"/>
    </row>
    <row r="212" spans="1:12" hidden="1" outlineLevel="2">
      <c r="A212" s="28">
        <v>2911</v>
      </c>
      <c r="B212" s="132" t="s">
        <v>217</v>
      </c>
      <c r="C212" s="146" t="str">
        <f ca="1">IFERROR(VLOOKUP($A212,Resultat2021!$B$11:$J$400,3,FALSE),"")</f>
        <v/>
      </c>
      <c r="D212" s="146" t="str">
        <f ca="1">IFERROR(VLOOKUP($A212,Resultat2021!$B$11:$J$400,4,FALSE),"")</f>
        <v/>
      </c>
      <c r="E212" s="146" t="str">
        <f ca="1">IFERROR(VLOOKUP($A212,Resultat2022!$B$11:$J$400,3,FALSE),"")</f>
        <v/>
      </c>
      <c r="F212" s="146" t="str">
        <f ca="1">IFERROR(VLOOKUP($A212,Resultat2022!$B$11:$J$400,4,FALSE),"")</f>
        <v/>
      </c>
      <c r="G212" s="146">
        <f ca="1">IFERROR(VLOOKUP($A212,Resultat2023!$B$11:$J$400,3,FALSE),"")</f>
        <v>0</v>
      </c>
      <c r="H212" s="146">
        <f ca="1">IFERROR(VLOOKUP($A212,Resultat2023!$B$11:$J$400,4,FALSE),"")</f>
        <v>0</v>
      </c>
      <c r="I212" s="146">
        <f ca="1">IFERROR(VLOOKUP($A212,Budsjett2024!$B$11:$J$400,3,FALSE),"")</f>
        <v>0</v>
      </c>
      <c r="L212" s="159"/>
    </row>
    <row r="213" spans="1:12" hidden="1" outlineLevel="2">
      <c r="A213" s="28">
        <v>8100</v>
      </c>
      <c r="B213" s="132" t="s">
        <v>218</v>
      </c>
      <c r="C213" s="146">
        <f ca="1">IFERROR(VLOOKUP($A213,Resultat2021!$B$11:$J$400,3,FALSE),"")</f>
        <v>739071.13</v>
      </c>
      <c r="D213" s="146">
        <f ca="1">IFERROR(VLOOKUP($A213,Resultat2021!$B$11:$J$400,4,FALSE),"")</f>
        <v>0</v>
      </c>
      <c r="E213" s="146">
        <f ca="1">IFERROR(VLOOKUP($A213,Resultat2022!$B$11:$J$400,3,FALSE),"")</f>
        <v>2110091.84</v>
      </c>
      <c r="F213" s="146">
        <f ca="1">IFERROR(VLOOKUP($A213,Resultat2022!$B$11:$J$400,4,FALSE),"")</f>
        <v>0</v>
      </c>
      <c r="G213" s="146">
        <f ca="1">IFERROR(VLOOKUP($A213,Resultat2023!$B$11:$J$400,3,FALSE),"")</f>
        <v>0</v>
      </c>
      <c r="H213" s="146">
        <f ca="1">IFERROR(VLOOKUP($A213,Resultat2023!$B$11:$J$400,4,FALSE),"")</f>
        <v>0</v>
      </c>
      <c r="I213" s="146" t="str">
        <f ca="1">IFERROR(VLOOKUP($A213,Budsjett2024!$B$11:$J$400,3,FALSE),"")</f>
        <v/>
      </c>
      <c r="L213" s="159"/>
    </row>
    <row r="214" spans="1:12" hidden="1" outlineLevel="2">
      <c r="A214" s="28">
        <v>8120</v>
      </c>
      <c r="B214" s="132" t="s">
        <v>219</v>
      </c>
      <c r="C214" s="146" t="str">
        <f ca="1">IFERROR(VLOOKUP($A214,Resultat2021!$B$11:$J$400,3,FALSE),"")</f>
        <v/>
      </c>
      <c r="D214" s="146" t="str">
        <f ca="1">IFERROR(VLOOKUP($A214,Resultat2021!$B$11:$J$400,4,FALSE),"")</f>
        <v/>
      </c>
      <c r="E214" s="146" t="str">
        <f ca="1">IFERROR(VLOOKUP($A214,Resultat2022!$B$11:$J$400,3,FALSE),"")</f>
        <v/>
      </c>
      <c r="F214" s="146" t="str">
        <f ca="1">IFERROR(VLOOKUP($A214,Resultat2022!$B$11:$J$400,4,FALSE),"")</f>
        <v/>
      </c>
      <c r="G214" s="146">
        <f ca="1">IFERROR(VLOOKUP($A214,Resultat2023!$B$11:$J$400,3,FALSE),"")</f>
        <v>1160000</v>
      </c>
      <c r="H214" s="146">
        <f ca="1">IFERROR(VLOOKUP($A214,Resultat2023!$B$11:$J$400,4,FALSE),"")</f>
        <v>0</v>
      </c>
      <c r="I214" s="146" t="str">
        <f ca="1">IFERROR(VLOOKUP($A214,Budsjett2024!$B$11:$J$400,3,FALSE),"")</f>
        <v/>
      </c>
      <c r="L214" s="159"/>
    </row>
    <row r="215" spans="1:12" hidden="1" outlineLevel="2">
      <c r="A215" s="28">
        <v>8130</v>
      </c>
      <c r="B215" s="132" t="s">
        <v>220</v>
      </c>
      <c r="C215" s="146">
        <f ca="1">IFERROR(VLOOKUP($A215,Resultat2021!$B$11:$J$400,3,FALSE),"")</f>
        <v>0</v>
      </c>
      <c r="D215" s="146">
        <f ca="1">IFERROR(VLOOKUP($A215,Resultat2021!$B$11:$J$400,4,FALSE),"")</f>
        <v>0</v>
      </c>
      <c r="E215" s="146">
        <f ca="1">IFERROR(VLOOKUP($A215,Resultat2022!$B$11:$J$400,3,FALSE),"")</f>
        <v>0</v>
      </c>
      <c r="F215" s="146">
        <f ca="1">IFERROR(VLOOKUP($A215,Resultat2022!$B$11:$J$400,4,FALSE),"")</f>
        <v>0</v>
      </c>
      <c r="G215" s="146" t="str">
        <f ca="1">IFERROR(VLOOKUP($A215,Resultat2023!$B$11:$J$400,3,FALSE),"")</f>
        <v/>
      </c>
      <c r="H215" s="146" t="str">
        <f ca="1">IFERROR(VLOOKUP($A215,Resultat2023!$B$11:$J$400,4,FALSE),"")</f>
        <v/>
      </c>
      <c r="I215" s="146" t="str">
        <f ca="1">IFERROR(VLOOKUP($A215,Budsjett2024!$B$11:$J$400,3,FALSE),"")</f>
        <v/>
      </c>
      <c r="L215" s="159"/>
    </row>
    <row r="216" spans="1:12" hidden="1" outlineLevel="2">
      <c r="A216" s="28">
        <v>8150</v>
      </c>
      <c r="B216" s="132" t="s">
        <v>221</v>
      </c>
      <c r="C216" s="146">
        <f ca="1">IFERROR(VLOOKUP($A216,Resultat2021!$B$11:$J$400,3,FALSE),"")</f>
        <v>3279</v>
      </c>
      <c r="D216" s="146">
        <f ca="1">IFERROR(VLOOKUP($A216,Resultat2021!$B$11:$J$400,4,FALSE),"")</f>
        <v>0</v>
      </c>
      <c r="E216" s="146">
        <f ca="1">IFERROR(VLOOKUP($A216,Resultat2022!$B$11:$J$400,3,FALSE),"")</f>
        <v>655.57</v>
      </c>
      <c r="F216" s="146">
        <f ca="1">IFERROR(VLOOKUP($A216,Resultat2022!$B$11:$J$400,4,FALSE),"")</f>
        <v>0</v>
      </c>
      <c r="G216" s="146">
        <f ca="1">IFERROR(VLOOKUP($A216,Resultat2023!$B$11:$J$400,3,FALSE),"")</f>
        <v>0.84</v>
      </c>
      <c r="H216" s="146">
        <f ca="1">IFERROR(VLOOKUP($A216,Resultat2023!$B$11:$J$400,4,FALSE),"")</f>
        <v>0</v>
      </c>
      <c r="I216" s="146">
        <f ca="1">IFERROR(VLOOKUP($A216,Budsjett2024!$B$11:$J$400,3,FALSE),"")</f>
        <v>0.03</v>
      </c>
      <c r="L216" s="159"/>
    </row>
    <row r="217" spans="1:12" hidden="1" outlineLevel="2">
      <c r="A217" s="28">
        <v>8155</v>
      </c>
      <c r="B217" s="132" t="s">
        <v>222</v>
      </c>
      <c r="C217" s="146">
        <f ca="1">IFERROR(VLOOKUP($A217,Resultat2021!$B$11:$J$400,3,FALSE),"")</f>
        <v>475.64</v>
      </c>
      <c r="D217" s="146">
        <f ca="1">IFERROR(VLOOKUP($A217,Resultat2021!$B$11:$J$400,4,FALSE),"")</f>
        <v>0</v>
      </c>
      <c r="E217" s="146">
        <f ca="1">IFERROR(VLOOKUP($A217,Resultat2022!$B$11:$J$400,3,FALSE),"")</f>
        <v>34.130000000000003</v>
      </c>
      <c r="F217" s="146">
        <f ca="1">IFERROR(VLOOKUP($A217,Resultat2022!$B$11:$J$400,4,FALSE),"")</f>
        <v>0</v>
      </c>
      <c r="G217" s="146">
        <f ca="1">IFERROR(VLOOKUP($A217,Resultat2023!$B$11:$J$400,3,FALSE),"")</f>
        <v>7.65</v>
      </c>
      <c r="H217" s="146">
        <f ca="1">IFERROR(VLOOKUP($A217,Resultat2023!$B$11:$J$400,4,FALSE),"")</f>
        <v>0</v>
      </c>
      <c r="I217" s="146">
        <f ca="1">IFERROR(VLOOKUP($A217,Budsjett2024!$B$11:$J$400,3,FALSE),"")</f>
        <v>0</v>
      </c>
      <c r="L217" s="159"/>
    </row>
    <row r="218" spans="1:12" hidden="1" outlineLevel="2">
      <c r="A218" s="28">
        <v>8160</v>
      </c>
      <c r="B218" s="132" t="s">
        <v>223</v>
      </c>
      <c r="C218" s="146">
        <f ca="1">IFERROR(VLOOKUP($A218,Resultat2021!$B$11:$J$400,3,FALSE),"")</f>
        <v>8885.24</v>
      </c>
      <c r="D218" s="146">
        <f ca="1">IFERROR(VLOOKUP($A218,Resultat2021!$B$11:$J$400,4,FALSE),"")</f>
        <v>0</v>
      </c>
      <c r="E218" s="146">
        <f ca="1">IFERROR(VLOOKUP($A218,Resultat2022!$B$11:$J$400,3,FALSE),"")</f>
        <v>29565.82</v>
      </c>
      <c r="F218" s="146">
        <f ca="1">IFERROR(VLOOKUP($A218,Resultat2022!$B$11:$J$400,4,FALSE),"")</f>
        <v>0</v>
      </c>
      <c r="G218" s="146">
        <f ca="1">IFERROR(VLOOKUP($A218,Resultat2023!$B$11:$J$400,3,FALSE),"")</f>
        <v>43857.57</v>
      </c>
      <c r="H218" s="146">
        <f ca="1">IFERROR(VLOOKUP($A218,Resultat2023!$B$11:$J$400,4,FALSE),"")</f>
        <v>0</v>
      </c>
      <c r="I218" s="146">
        <f ca="1">IFERROR(VLOOKUP($A218,Budsjett2024!$B$11:$J$400,3,FALSE),"")</f>
        <v>25842.66</v>
      </c>
      <c r="L218" s="159"/>
    </row>
    <row r="219" spans="1:12" hidden="1" outlineLevel="2">
      <c r="A219" s="28">
        <v>8170</v>
      </c>
      <c r="B219" s="132" t="s">
        <v>224</v>
      </c>
      <c r="C219" s="146" t="str">
        <f ca="1">IFERROR(VLOOKUP($A219,Resultat2021!$B$11:$J$400,3,FALSE),"")</f>
        <v/>
      </c>
      <c r="D219" s="146" t="str">
        <f ca="1">IFERROR(VLOOKUP($A219,Resultat2021!$B$11:$J$400,4,FALSE),"")</f>
        <v/>
      </c>
      <c r="E219" s="146" t="str">
        <f ca="1">IFERROR(VLOOKUP($A219,Resultat2022!$B$11:$J$400,3,FALSE),"")</f>
        <v/>
      </c>
      <c r="F219" s="146" t="str">
        <f ca="1">IFERROR(VLOOKUP($A219,Resultat2022!$B$11:$J$400,4,FALSE),"")</f>
        <v/>
      </c>
      <c r="G219" s="146">
        <f ca="1">IFERROR(VLOOKUP($A219,Resultat2023!$B$11:$J$400,3,FALSE),"")</f>
        <v>0</v>
      </c>
      <c r="H219" s="146">
        <f ca="1">IFERROR(VLOOKUP($A219,Resultat2023!$B$11:$J$400,4,FALSE),"")</f>
        <v>0</v>
      </c>
      <c r="I219" s="146">
        <f ca="1">IFERROR(VLOOKUP($A219,Budsjett2024!$B$11:$J$400,3,FALSE),"")</f>
        <v>0.04</v>
      </c>
      <c r="L219" s="159"/>
    </row>
    <row r="220" spans="1:12" hidden="1" outlineLevel="1">
      <c r="A220" s="35" t="str">
        <f>"    "&amp;"Finanskostnad"</f>
        <v xml:space="preserve">    Finanskostnad</v>
      </c>
      <c r="B220" s="35"/>
      <c r="C220" s="147">
        <f ca="1">IFERROR(VLOOKUP($A220,Resultat2021!$B$11:$J$400,3,FALSE),"")</f>
        <v>751711.01</v>
      </c>
      <c r="D220" s="147">
        <f ca="1">IFERROR(VLOOKUP($A220,Resultat2021!$B$11:$J$400,4,FALSE),"")</f>
        <v>0</v>
      </c>
      <c r="E220" s="147">
        <f ca="1">IFERROR(VLOOKUP($A220,Resultat2022!$B$11:$J$400,3,FALSE),"")</f>
        <v>2140347.3599999994</v>
      </c>
      <c r="F220" s="147">
        <f ca="1">IFERROR(VLOOKUP($A220,Resultat2022!$B$11:$J$400,4,FALSE),"")</f>
        <v>0</v>
      </c>
      <c r="G220" s="147">
        <f ca="1">IFERROR(VLOOKUP($A220,Resultat2023!$B$11:$J$400,3,FALSE),"")</f>
        <v>1203866.06</v>
      </c>
      <c r="H220" s="147">
        <f ca="1">IFERROR(VLOOKUP($A220,Resultat2023!$B$11:$J$400,4,FALSE),"")</f>
        <v>0</v>
      </c>
      <c r="I220" s="147">
        <f ca="1">IFERROR(VLOOKUP($A220,Budsjett2024!$B$11:$J$400,3,FALSE),"")</f>
        <v>25842.73</v>
      </c>
      <c r="L220" s="159"/>
    </row>
    <row r="221" spans="1:12" collapsed="1">
      <c r="A221" s="41" t="s">
        <v>225</v>
      </c>
      <c r="B221" s="133"/>
      <c r="C221" s="148">
        <f ca="1">IFERROR(VLOOKUP($A221,Resultat2021!$B$11:$J$400,3,FALSE),"")</f>
        <v>751711.01</v>
      </c>
      <c r="D221" s="148">
        <f ca="1">IFERROR(VLOOKUP($A221,Resultat2021!$B$11:$J$400,4,FALSE),"")</f>
        <v>0</v>
      </c>
      <c r="E221" s="148">
        <f ca="1">IFERROR(VLOOKUP($A221,Resultat2022!$B$11:$J$400,3,FALSE),"")</f>
        <v>2140347.3599999994</v>
      </c>
      <c r="F221" s="148">
        <f ca="1">IFERROR(VLOOKUP($A221,Resultat2022!$B$11:$J$400,4,FALSE),"")</f>
        <v>0</v>
      </c>
      <c r="G221" s="148">
        <f ca="1">IFERROR(VLOOKUP($A221,Resultat2023!$B$11:$J$400,3,FALSE),"")</f>
        <v>1203866.06</v>
      </c>
      <c r="H221" s="148">
        <f ca="1">IFERROR(VLOOKUP($A221,Resultat2023!$B$11:$J$400,4,FALSE),"")</f>
        <v>0</v>
      </c>
      <c r="I221" s="148">
        <f ca="1">IFERROR(VLOOKUP($A221,Budsjett2024!$B$11:$J$400,3,FALSE),"")</f>
        <v>25842.73</v>
      </c>
      <c r="L221" s="159"/>
    </row>
    <row r="222" spans="1:12">
      <c r="A222" s="48" t="s">
        <v>226</v>
      </c>
      <c r="B222" s="134"/>
      <c r="C222" s="145">
        <f ca="1">IFERROR(VLOOKUP($A222,Resultat2021!$B$11:$J$400,3,FALSE),"")</f>
        <v>406431.44999999995</v>
      </c>
      <c r="D222" s="145">
        <f ca="1">IFERROR(VLOOKUP($A222,Resultat2021!$B$11:$J$400,4,FALSE),"")</f>
        <v>1400000</v>
      </c>
      <c r="E222" s="145">
        <f ca="1">IFERROR(VLOOKUP($A222,Resultat2022!$B$11:$J$400,3,FALSE),"")</f>
        <v>-336909.88999999943</v>
      </c>
      <c r="F222" s="145">
        <f ca="1">IFERROR(VLOOKUP($A222,Resultat2022!$B$11:$J$400,4,FALSE),"")</f>
        <v>170000</v>
      </c>
      <c r="G222" s="145">
        <f ca="1">IFERROR(VLOOKUP($A222,Resultat2023!$B$11:$J$400,3,FALSE),"")</f>
        <v>2951809.31</v>
      </c>
      <c r="H222" s="145">
        <f ca="1">IFERROR(VLOOKUP($A222,Resultat2023!$B$11:$J$400,4,FALSE),"")</f>
        <v>3530000</v>
      </c>
      <c r="I222" s="145">
        <f ca="1">IFERROR(VLOOKUP($A222,Budsjett2024!$B$11:$J$400,3,FALSE),"")</f>
        <v>7734828.5199999996</v>
      </c>
      <c r="L222" s="159"/>
    </row>
    <row r="223" spans="1:12">
      <c r="A223" s="27"/>
      <c r="B223" s="110"/>
      <c r="C223" s="151" t="str">
        <f ca="1">IFERROR(VLOOKUP($A223,Resultat2021!$B$11:$J$400,3,FALSE),"")</f>
        <v/>
      </c>
      <c r="D223" s="151" t="str">
        <f ca="1">IFERROR(VLOOKUP($A223,Resultat2021!$B$11:$J$400,4,FALSE),"")</f>
        <v/>
      </c>
      <c r="E223" s="151" t="str">
        <f ca="1">IFERROR(VLOOKUP($A223,Resultat2022!$B$11:$J$400,3,FALSE),"")</f>
        <v/>
      </c>
      <c r="F223" s="151" t="str">
        <f ca="1">IFERROR(VLOOKUP($A223,Resultat2022!$B$11:$J$400,4,FALSE),"")</f>
        <v/>
      </c>
      <c r="G223" s="151" t="str">
        <f ca="1">IFERROR(VLOOKUP($A223,Resultat2023!$B$11:$J$400,3,FALSE),"")</f>
        <v/>
      </c>
      <c r="H223" s="151" t="str">
        <f ca="1">IFERROR(VLOOKUP($A223,Resultat2023!$B$11:$J$400,4,FALSE),"")</f>
        <v/>
      </c>
      <c r="I223" s="151" t="str">
        <f ca="1">IFERROR(VLOOKUP($A223,Budsjett2024!$B$11:$J$400,3,FALSE),"")</f>
        <v/>
      </c>
      <c r="L223" s="159"/>
    </row>
    <row r="224" spans="1:12" ht="15.6">
      <c r="A224" s="77" t="s">
        <v>227</v>
      </c>
      <c r="B224" s="77"/>
      <c r="C224" s="150">
        <f ca="1">IFERROR(VLOOKUP($A224,Resultat2021!$B$11:$J$400,3,FALSE),"")</f>
        <v>3341778.5999999987</v>
      </c>
      <c r="D224" s="150">
        <f ca="1">IFERROR(VLOOKUP($A224,Resultat2021!$B$11:$J$400,4,FALSE),"")</f>
        <v>-29000.714537993073</v>
      </c>
      <c r="E224" s="150">
        <f ca="1">IFERROR(VLOOKUP($A224,Resultat2022!$B$11:$J$400,3,FALSE),"")</f>
        <v>-327309.74999998393</v>
      </c>
      <c r="F224" s="150">
        <f ca="1">IFERROR(VLOOKUP($A224,Resultat2022!$B$11:$J$400,4,FALSE),"")</f>
        <v>-649999.93225499988</v>
      </c>
      <c r="G224" s="150">
        <f ca="1">IFERROR(VLOOKUP($A224,Resultat2023!$B$11:$J$400,3,FALSE),"")</f>
        <v>661160.72999999439</v>
      </c>
      <c r="H224" s="150">
        <f ca="1">IFERROR(VLOOKUP($A224,Resultat2023!$B$11:$J$400,4,FALSE),"")</f>
        <v>-1300000.1851390004</v>
      </c>
      <c r="I224" s="150">
        <f ca="1">IFERROR(VLOOKUP($A224,Budsjett2024!$B$11:$J$400,3,FALSE),"")</f>
        <v>-1528285.8434350006</v>
      </c>
      <c r="K224" s="159"/>
      <c r="L224" s="159"/>
    </row>
    <row r="225" spans="1:12" ht="15.6">
      <c r="A225" s="85"/>
      <c r="B225" s="85"/>
      <c r="C225" s="152" t="str">
        <f ca="1">IFERROR(VLOOKUP($A225,Resultat2021!$B$11:$J$400,3,FALSE),"")</f>
        <v/>
      </c>
      <c r="D225" s="152" t="str">
        <f ca="1">IFERROR(VLOOKUP($A225,Resultat2021!$B$11:$J$400,4,FALSE),"")</f>
        <v/>
      </c>
      <c r="E225" s="152" t="str">
        <f ca="1">IFERROR(VLOOKUP($A225,Resultat2022!$B$11:$J$400,3,FALSE),"")</f>
        <v/>
      </c>
      <c r="F225" s="152" t="str">
        <f ca="1">IFERROR(VLOOKUP($A225,Resultat2022!$B$11:$J$400,4,FALSE),"")</f>
        <v/>
      </c>
      <c r="G225" s="152" t="str">
        <f ca="1">IFERROR(VLOOKUP($A225,Resultat2023!$B$11:$J$400,3,FALSE),"")</f>
        <v/>
      </c>
      <c r="H225" s="152" t="str">
        <f ca="1">IFERROR(VLOOKUP($A225,Resultat2023!$B$11:$J$400,4,FALSE),"")</f>
        <v/>
      </c>
      <c r="I225" s="152" t="str">
        <f ca="1">IFERROR(VLOOKUP($A225,Budsjett2024!$B$11:$J$400,3,FALSE),"")</f>
        <v/>
      </c>
      <c r="L225" s="159"/>
    </row>
    <row r="226" spans="1:12" hidden="1" outlineLevel="2">
      <c r="A226" s="28">
        <v>8914</v>
      </c>
      <c r="B226" s="132" t="s">
        <v>228</v>
      </c>
      <c r="C226" s="146">
        <f ca="1">IFERROR(VLOOKUP($A226,Resultat2021!$B$11:$J$400,3,FALSE),"")</f>
        <v>1667557.96</v>
      </c>
      <c r="D226" s="146">
        <f ca="1">IFERROR(VLOOKUP($A226,Resultat2021!$B$11:$J$400,4,FALSE),"")</f>
        <v>0</v>
      </c>
      <c r="E226" s="146">
        <f ca="1">IFERROR(VLOOKUP($A226,Resultat2022!$B$11:$J$400,3,FALSE),"")</f>
        <v>-1288199.67</v>
      </c>
      <c r="F226" s="146">
        <f ca="1">IFERROR(VLOOKUP($A226,Resultat2022!$B$11:$J$400,4,FALSE),"")</f>
        <v>0</v>
      </c>
      <c r="G226" s="146">
        <f ca="1">IFERROR(VLOOKUP($A226,Resultat2023!$B$11:$J$400,3,FALSE),"")</f>
        <v>-4118535.16</v>
      </c>
      <c r="H226" s="146">
        <f ca="1">IFERROR(VLOOKUP($A226,Resultat2023!$B$11:$J$400,4,FALSE),"")</f>
        <v>0</v>
      </c>
      <c r="I226" s="146">
        <f ca="1">IFERROR(VLOOKUP($A226,Budsjett2024!$B$11:$J$400,3,FALSE),"")</f>
        <v>0</v>
      </c>
      <c r="L226" s="159"/>
    </row>
    <row r="227" spans="1:12" hidden="1" outlineLevel="2">
      <c r="A227" s="28">
        <v>8920</v>
      </c>
      <c r="B227" s="132" t="s">
        <v>229</v>
      </c>
      <c r="C227" s="146" t="str">
        <f ca="1">IFERROR(VLOOKUP($A227,Resultat2021!$B$11:$J$400,3,FALSE),"")</f>
        <v/>
      </c>
      <c r="D227" s="146" t="str">
        <f ca="1">IFERROR(VLOOKUP($A227,Resultat2021!$B$11:$J$400,4,FALSE),"")</f>
        <v/>
      </c>
      <c r="E227" s="146">
        <f ca="1">IFERROR(VLOOKUP($A227,Resultat2022!$B$11:$J$400,3,FALSE),"")</f>
        <v>-245907.64</v>
      </c>
      <c r="F227" s="146">
        <f ca="1">IFERROR(VLOOKUP($A227,Resultat2022!$B$11:$J$400,4,FALSE),"")</f>
        <v>0</v>
      </c>
      <c r="G227" s="146">
        <f ca="1">IFERROR(VLOOKUP($A227,Resultat2023!$B$11:$J$400,3,FALSE),"")</f>
        <v>574214.84</v>
      </c>
      <c r="H227" s="146">
        <f ca="1">IFERROR(VLOOKUP($A227,Resultat2023!$B$11:$J$400,4,FALSE),"")</f>
        <v>0</v>
      </c>
      <c r="I227" s="146" t="str">
        <f ca="1">IFERROR(VLOOKUP($A227,Budsjett2024!$B$11:$J$400,3,FALSE),"")</f>
        <v/>
      </c>
      <c r="L227" s="159"/>
    </row>
    <row r="228" spans="1:12" hidden="1" outlineLevel="2">
      <c r="A228" s="28">
        <v>8930</v>
      </c>
      <c r="B228" s="132" t="s">
        <v>230</v>
      </c>
      <c r="C228" s="146" t="str">
        <f ca="1">IFERROR(VLOOKUP($A228,Resultat2021!$B$11:$J$400,3,FALSE),"")</f>
        <v/>
      </c>
      <c r="D228" s="146" t="str">
        <f ca="1">IFERROR(VLOOKUP($A228,Resultat2021!$B$11:$J$400,4,FALSE),"")</f>
        <v/>
      </c>
      <c r="E228" s="146">
        <f ca="1">IFERROR(VLOOKUP($A228,Resultat2022!$B$11:$J$400,3,FALSE),"")</f>
        <v>-35554.410000000003</v>
      </c>
      <c r="F228" s="146">
        <f ca="1">IFERROR(VLOOKUP($A228,Resultat2022!$B$11:$J$400,4,FALSE),"")</f>
        <v>0</v>
      </c>
      <c r="G228" s="146">
        <f ca="1">IFERROR(VLOOKUP($A228,Resultat2023!$B$11:$J$400,3,FALSE),"")</f>
        <v>83022.5</v>
      </c>
      <c r="H228" s="146">
        <f ca="1">IFERROR(VLOOKUP($A228,Resultat2023!$B$11:$J$400,3,FALSE),"")</f>
        <v>83022.5</v>
      </c>
      <c r="I228" s="146" t="str">
        <f ca="1">IFERROR(VLOOKUP($A228,Budsjett2024!$B$11:$J$400,3,FALSE),"")</f>
        <v/>
      </c>
      <c r="L228" s="159"/>
    </row>
    <row r="229" spans="1:12" hidden="1" outlineLevel="2">
      <c r="A229" s="28">
        <v>8950</v>
      </c>
      <c r="B229" s="29" t="s">
        <v>231</v>
      </c>
      <c r="C229" s="146"/>
      <c r="D229" s="146"/>
      <c r="E229" s="146"/>
      <c r="F229" s="146"/>
      <c r="G229" s="146">
        <f ca="1">IFERROR(VLOOKUP($A229,Resultat2023!$B$11:$J$400,3,FALSE),"")</f>
        <v>3994203.96</v>
      </c>
      <c r="H229" s="146"/>
      <c r="I229" s="146"/>
      <c r="L229" s="159"/>
    </row>
    <row r="230" spans="1:12" hidden="1" outlineLevel="2">
      <c r="A230" s="28">
        <v>8960</v>
      </c>
      <c r="B230" s="132" t="s">
        <v>232</v>
      </c>
      <c r="C230" s="146">
        <f ca="1">IFERROR(VLOOKUP($A230,Resultat2021!$B$11:$J$400,3,FALSE),"")</f>
        <v>1674220.63</v>
      </c>
      <c r="D230" s="146">
        <f ca="1">IFERROR(VLOOKUP($A230,Resultat2021!$B$11:$J$400,4,FALSE),"")</f>
        <v>0</v>
      </c>
      <c r="E230" s="146">
        <f ca="1">IFERROR(VLOOKUP($A230,Resultat2022!$B$11:$J$400,3,FALSE),"")</f>
        <v>1242351.97</v>
      </c>
      <c r="F230" s="146">
        <f ca="1">IFERROR(VLOOKUP($A230,Resultat2022!$B$11:$J$400,4,FALSE),"")</f>
        <v>0</v>
      </c>
      <c r="G230" s="146">
        <f ca="1">IFERROR(VLOOKUP($A230,Resultat2023!$B$11:$J$400,3,FALSE),"")</f>
        <v>128254.59</v>
      </c>
      <c r="H230" s="146">
        <f ca="1">IFERROR(VLOOKUP($A230,Resultat2023!$B$11:$J$400,4,FALSE),"")</f>
        <v>0</v>
      </c>
      <c r="I230" s="146" t="str">
        <f ca="1">IFERROR(VLOOKUP($A230,Budsjett2024!$B$11:$J$400,3,FALSE),"")</f>
        <v/>
      </c>
      <c r="L230" s="159"/>
    </row>
    <row r="231" spans="1:12" hidden="1" outlineLevel="1">
      <c r="A231" s="35" t="str">
        <f>"    "&amp;"Overføringer og disponeringer"</f>
        <v xml:space="preserve">    Overføringer og disponeringer</v>
      </c>
      <c r="B231" s="35"/>
      <c r="C231" s="147">
        <f ca="1">IFERROR(VLOOKUP($A231,Resultat2021!$B$11:$J$400,3,FALSE),"")</f>
        <v>3341778.59</v>
      </c>
      <c r="D231" s="147">
        <f ca="1">IFERROR(VLOOKUP($A231,Resultat2021!$B$11:$J$400,4,FALSE),"")</f>
        <v>0</v>
      </c>
      <c r="E231" s="147">
        <f ca="1">IFERROR(VLOOKUP($A231,Resultat2022!$B$11:$J$400,3,FALSE),"")</f>
        <v>-327309.75</v>
      </c>
      <c r="F231" s="147">
        <f ca="1">IFERROR(VLOOKUP($A231,Resultat2022!$B$11:$J$400,4,FALSE),"")</f>
        <v>0</v>
      </c>
      <c r="G231" s="147">
        <f ca="1">IFERROR(VLOOKUP($A231,Resultat2023!$B$11:$J$400,3,FALSE),"")</f>
        <v>661160.72999999963</v>
      </c>
      <c r="H231" s="147">
        <f ca="1">IFERROR(VLOOKUP($A231,Resultat2023!$B$11:$J$400,4,FALSE),"")</f>
        <v>0</v>
      </c>
      <c r="I231" s="147">
        <f ca="1">IFERROR(VLOOKUP($A231,Budsjett2024!$B$11:$J$400,3,FALSE),"")</f>
        <v>0</v>
      </c>
      <c r="L231" s="159"/>
    </row>
    <row r="232" spans="1:12" collapsed="1">
      <c r="A232" s="89" t="s">
        <v>233</v>
      </c>
      <c r="B232" s="135"/>
      <c r="C232" s="153">
        <f ca="1">IFERROR(VLOOKUP($A232,Resultat2021!$B$11:$J$400,3,FALSE),"")</f>
        <v>3341778.59</v>
      </c>
      <c r="D232" s="153">
        <f ca="1">IFERROR(VLOOKUP($A232,Resultat2021!$B$11:$J$400,4,FALSE),"")</f>
        <v>0</v>
      </c>
      <c r="E232" s="153">
        <f ca="1">IFERROR(VLOOKUP($A232,Resultat2022!$B$11:$J$400,3,FALSE),"")</f>
        <v>-327309.75</v>
      </c>
      <c r="F232" s="153">
        <f ca="1">IFERROR(VLOOKUP($A232,Resultat2022!$B$11:$J$400,4,FALSE),"")</f>
        <v>0</v>
      </c>
      <c r="G232" s="153">
        <f ca="1">IFERROR(VLOOKUP($A232,Resultat2023!$B$11:$J$400,3,FALSE),"")</f>
        <v>661160.72999999963</v>
      </c>
      <c r="H232" s="153">
        <f ca="1">IFERROR(VLOOKUP($A232,Resultat2023!$B$11:$J$400,4,FALSE),"")</f>
        <v>0</v>
      </c>
      <c r="I232" s="153">
        <f ca="1">IFERROR(VLOOKUP($A232,Budsjett2024!$B$11:$J$400,3,FALSE),"")</f>
        <v>0</v>
      </c>
      <c r="L232" s="159"/>
    </row>
    <row r="233" spans="1:12">
      <c r="A233" s="28"/>
      <c r="B233" s="136"/>
      <c r="L233" s="159"/>
    </row>
    <row r="234" spans="1:12">
      <c r="A234" s="28"/>
      <c r="B234" s="136"/>
    </row>
    <row r="235" spans="1:12">
      <c r="A235" s="35"/>
      <c r="B235" s="137"/>
    </row>
    <row r="236" spans="1:12">
      <c r="A236" s="28"/>
      <c r="B236" s="136"/>
    </row>
    <row r="237" spans="1:12">
      <c r="A237" s="35"/>
      <c r="B237" s="137"/>
    </row>
    <row r="238" spans="1:12">
      <c r="A238" s="28"/>
      <c r="B238" s="136"/>
    </row>
    <row r="239" spans="1:12">
      <c r="A239" s="28"/>
      <c r="B239" s="136"/>
    </row>
    <row r="240" spans="1:12">
      <c r="A240" s="28"/>
      <c r="B240" s="136"/>
    </row>
    <row r="241" spans="1:2">
      <c r="A241" s="28"/>
      <c r="B241" s="136"/>
    </row>
    <row r="242" spans="1:2">
      <c r="A242" s="28"/>
      <c r="B242" s="136"/>
    </row>
    <row r="243" spans="1:2">
      <c r="A243" s="28"/>
      <c r="B243" s="136"/>
    </row>
    <row r="244" spans="1:2">
      <c r="A244" s="35"/>
      <c r="B244" s="137"/>
    </row>
    <row r="245" spans="1:2">
      <c r="A245" s="41"/>
      <c r="B245" s="138"/>
    </row>
    <row r="246" spans="1:2">
      <c r="A246" s="28"/>
      <c r="B246" s="136"/>
    </row>
    <row r="247" spans="1:2">
      <c r="A247" s="28"/>
      <c r="B247" s="136"/>
    </row>
    <row r="248" spans="1:2">
      <c r="A248" s="35"/>
      <c r="B248" s="137"/>
    </row>
    <row r="249" spans="1:2">
      <c r="A249" s="41"/>
      <c r="B249" s="138"/>
    </row>
    <row r="250" spans="1:2">
      <c r="A250" s="28"/>
      <c r="B250" s="136"/>
    </row>
    <row r="251" spans="1:2">
      <c r="A251" s="28"/>
      <c r="B251" s="136"/>
    </row>
    <row r="252" spans="1:2">
      <c r="A252" s="28"/>
      <c r="B252" s="136"/>
    </row>
    <row r="253" spans="1:2">
      <c r="A253" s="28"/>
      <c r="B253" s="136"/>
    </row>
    <row r="254" spans="1:2">
      <c r="A254" s="35"/>
      <c r="B254" s="137"/>
    </row>
    <row r="255" spans="1:2">
      <c r="A255" s="28"/>
      <c r="B255" s="136"/>
    </row>
    <row r="256" spans="1:2">
      <c r="A256" s="28"/>
      <c r="B256" s="136"/>
    </row>
    <row r="257" spans="1:2">
      <c r="A257" s="28"/>
      <c r="B257" s="136"/>
    </row>
    <row r="258" spans="1:2">
      <c r="A258" s="28"/>
      <c r="B258" s="136"/>
    </row>
    <row r="259" spans="1:2">
      <c r="A259" s="35"/>
      <c r="B259" s="137"/>
    </row>
    <row r="260" spans="1:2">
      <c r="A260" s="28"/>
      <c r="B260" s="136"/>
    </row>
    <row r="261" spans="1:2">
      <c r="A261" s="28"/>
      <c r="B261" s="136"/>
    </row>
    <row r="262" spans="1:2">
      <c r="A262" s="28"/>
      <c r="B262" s="136"/>
    </row>
    <row r="263" spans="1:2">
      <c r="A263" s="35"/>
      <c r="B263" s="137"/>
    </row>
    <row r="264" spans="1:2">
      <c r="A264" s="41"/>
      <c r="B264" s="138"/>
    </row>
    <row r="265" spans="1:2">
      <c r="A265" s="48"/>
      <c r="B265" s="139"/>
    </row>
    <row r="266" spans="1:2">
      <c r="A266" s="23"/>
      <c r="B266" s="140"/>
    </row>
    <row r="267" spans="1:2">
      <c r="A267" s="28"/>
      <c r="B267" s="136"/>
    </row>
    <row r="268" spans="1:2">
      <c r="A268" s="28"/>
      <c r="B268" s="136"/>
    </row>
    <row r="269" spans="1:2">
      <c r="A269" s="28"/>
      <c r="B269" s="136"/>
    </row>
    <row r="270" spans="1:2">
      <c r="A270" s="35"/>
      <c r="B270" s="137"/>
    </row>
    <row r="271" spans="1:2">
      <c r="A271" s="41"/>
      <c r="B271" s="138"/>
    </row>
    <row r="272" spans="1:2">
      <c r="A272" s="28"/>
      <c r="B272" s="136"/>
    </row>
    <row r="273" spans="1:2">
      <c r="A273" s="28"/>
      <c r="B273" s="136"/>
    </row>
    <row r="274" spans="1:2">
      <c r="A274" s="28"/>
      <c r="B274" s="136"/>
    </row>
    <row r="275" spans="1:2">
      <c r="A275" s="28"/>
      <c r="B275" s="136"/>
    </row>
    <row r="276" spans="1:2">
      <c r="A276" s="28"/>
      <c r="B276" s="136"/>
    </row>
    <row r="277" spans="1:2">
      <c r="A277" s="28"/>
      <c r="B277" s="136"/>
    </row>
    <row r="278" spans="1:2">
      <c r="A278" s="28"/>
      <c r="B278" s="136"/>
    </row>
    <row r="279" spans="1:2">
      <c r="A279" s="28"/>
      <c r="B279" s="136"/>
    </row>
    <row r="280" spans="1:2">
      <c r="A280" s="28"/>
      <c r="B280" s="136"/>
    </row>
    <row r="281" spans="1:2">
      <c r="A281" s="28"/>
      <c r="B281" s="136"/>
    </row>
    <row r="282" spans="1:2">
      <c r="A282" s="35"/>
      <c r="B282" s="137"/>
    </row>
    <row r="283" spans="1:2">
      <c r="A283" s="28"/>
      <c r="B283" s="136"/>
    </row>
    <row r="284" spans="1:2">
      <c r="A284" s="28"/>
      <c r="B284" s="136"/>
    </row>
    <row r="285" spans="1:2">
      <c r="A285" s="28"/>
      <c r="B285" s="136"/>
    </row>
    <row r="286" spans="1:2">
      <c r="A286" s="28"/>
      <c r="B286" s="136"/>
    </row>
    <row r="287" spans="1:2">
      <c r="A287" s="28"/>
      <c r="B287" s="136"/>
    </row>
    <row r="288" spans="1:2">
      <c r="A288" s="28"/>
      <c r="B288" s="136"/>
    </row>
    <row r="289" spans="1:2">
      <c r="A289" s="35"/>
      <c r="B289" s="137"/>
    </row>
    <row r="290" spans="1:2">
      <c r="A290" s="28"/>
      <c r="B290" s="136"/>
    </row>
    <row r="291" spans="1:2">
      <c r="A291" s="28"/>
      <c r="B291" s="136"/>
    </row>
    <row r="292" spans="1:2">
      <c r="A292" s="28"/>
      <c r="B292" s="136"/>
    </row>
    <row r="293" spans="1:2">
      <c r="A293" s="35"/>
      <c r="B293" s="137"/>
    </row>
    <row r="294" spans="1:2">
      <c r="A294" s="28"/>
      <c r="B294" s="136"/>
    </row>
    <row r="295" spans="1:2">
      <c r="A295" s="28"/>
      <c r="B295" s="136"/>
    </row>
    <row r="296" spans="1:2">
      <c r="A296" s="35"/>
      <c r="B296" s="137"/>
    </row>
    <row r="297" spans="1:2">
      <c r="A297" s="28"/>
      <c r="B297" s="136"/>
    </row>
    <row r="298" spans="1:2">
      <c r="A298" s="28"/>
      <c r="B298" s="136"/>
    </row>
    <row r="299" spans="1:2">
      <c r="A299" s="28"/>
      <c r="B299" s="136"/>
    </row>
    <row r="300" spans="1:2">
      <c r="A300" s="35"/>
      <c r="B300" s="137"/>
    </row>
    <row r="301" spans="1:2">
      <c r="A301" s="28"/>
      <c r="B301" s="136"/>
    </row>
    <row r="302" spans="1:2">
      <c r="A302" s="28"/>
      <c r="B302" s="136"/>
    </row>
    <row r="303" spans="1:2">
      <c r="A303" s="28"/>
      <c r="B303" s="136"/>
    </row>
    <row r="304" spans="1:2">
      <c r="A304" s="28"/>
      <c r="B304" s="136"/>
    </row>
    <row r="305" spans="1:2">
      <c r="A305" s="28"/>
      <c r="B305" s="136"/>
    </row>
    <row r="306" spans="1:2">
      <c r="A306" s="28"/>
      <c r="B306" s="136"/>
    </row>
    <row r="307" spans="1:2">
      <c r="A307" s="28"/>
      <c r="B307" s="136"/>
    </row>
    <row r="308" spans="1:2">
      <c r="A308" s="28"/>
      <c r="B308" s="136"/>
    </row>
    <row r="309" spans="1:2">
      <c r="A309" s="28"/>
      <c r="B309" s="136"/>
    </row>
    <row r="310" spans="1:2">
      <c r="A310" s="35"/>
      <c r="B310" s="137"/>
    </row>
    <row r="311" spans="1:2">
      <c r="A311" s="28"/>
      <c r="B311" s="136"/>
    </row>
    <row r="312" spans="1:2">
      <c r="A312" s="35"/>
      <c r="B312" s="137"/>
    </row>
    <row r="313" spans="1:2">
      <c r="A313" s="41"/>
      <c r="B313" s="138"/>
    </row>
    <row r="314" spans="1:2">
      <c r="A314" s="28"/>
      <c r="B314" s="136"/>
    </row>
    <row r="315" spans="1:2">
      <c r="A315" s="35"/>
      <c r="B315" s="137"/>
    </row>
    <row r="316" spans="1:2">
      <c r="A316" s="28"/>
      <c r="B316" s="136"/>
    </row>
    <row r="317" spans="1:2">
      <c r="A317" s="28"/>
      <c r="B317" s="136"/>
    </row>
    <row r="318" spans="1:2">
      <c r="A318" s="28"/>
      <c r="B318" s="136"/>
    </row>
    <row r="319" spans="1:2">
      <c r="A319" s="28"/>
      <c r="B319" s="136"/>
    </row>
    <row r="320" spans="1:2">
      <c r="A320" s="28"/>
      <c r="B320" s="136"/>
    </row>
    <row r="321" spans="1:2">
      <c r="A321" s="35"/>
      <c r="B321" s="137"/>
    </row>
    <row r="322" spans="1:2">
      <c r="A322" s="28"/>
      <c r="B322" s="136"/>
    </row>
    <row r="323" spans="1:2">
      <c r="A323" s="28"/>
      <c r="B323" s="136"/>
    </row>
    <row r="324" spans="1:2">
      <c r="A324" s="28"/>
      <c r="B324" s="136"/>
    </row>
    <row r="325" spans="1:2">
      <c r="A325" s="28"/>
      <c r="B325" s="136"/>
    </row>
    <row r="326" spans="1:2">
      <c r="A326" s="28"/>
      <c r="B326" s="136"/>
    </row>
    <row r="327" spans="1:2">
      <c r="A327" s="35"/>
      <c r="B327" s="137"/>
    </row>
    <row r="328" spans="1:2">
      <c r="A328" s="28"/>
      <c r="B328" s="136"/>
    </row>
    <row r="329" spans="1:2">
      <c r="A329" s="28"/>
      <c r="B329" s="136"/>
    </row>
    <row r="330" spans="1:2">
      <c r="A330" s="28"/>
      <c r="B330" s="136"/>
    </row>
    <row r="331" spans="1:2">
      <c r="A331" s="28"/>
      <c r="B331" s="136"/>
    </row>
    <row r="332" spans="1:2">
      <c r="A332" s="35"/>
      <c r="B332" s="137"/>
    </row>
    <row r="333" spans="1:2">
      <c r="A333" s="28"/>
      <c r="B333" s="136"/>
    </row>
    <row r="334" spans="1:2">
      <c r="A334" s="28"/>
      <c r="B334" s="136"/>
    </row>
    <row r="335" spans="1:2">
      <c r="A335" s="28"/>
      <c r="B335" s="136"/>
    </row>
    <row r="336" spans="1:2">
      <c r="A336" s="28"/>
      <c r="B336" s="136"/>
    </row>
    <row r="337" spans="1:2">
      <c r="A337" s="35"/>
      <c r="B337" s="137"/>
    </row>
    <row r="338" spans="1:2">
      <c r="A338" s="28"/>
      <c r="B338" s="136"/>
    </row>
    <row r="339" spans="1:2">
      <c r="A339" s="28"/>
      <c r="B339" s="136"/>
    </row>
    <row r="340" spans="1:2">
      <c r="A340" s="28"/>
      <c r="B340" s="136"/>
    </row>
    <row r="341" spans="1:2">
      <c r="A341" s="28"/>
      <c r="B341" s="136"/>
    </row>
    <row r="342" spans="1:2">
      <c r="A342" s="28"/>
      <c r="B342" s="136"/>
    </row>
    <row r="343" spans="1:2">
      <c r="A343" s="28"/>
      <c r="B343" s="136"/>
    </row>
    <row r="344" spans="1:2">
      <c r="A344" s="28"/>
      <c r="B344" s="136"/>
    </row>
    <row r="345" spans="1:2">
      <c r="A345" s="35"/>
      <c r="B345" s="137"/>
    </row>
    <row r="346" spans="1:2">
      <c r="A346" s="28"/>
      <c r="B346" s="136"/>
    </row>
    <row r="347" spans="1:2">
      <c r="A347" s="28"/>
      <c r="B347" s="136"/>
    </row>
    <row r="348" spans="1:2">
      <c r="A348" s="28"/>
      <c r="B348" s="136"/>
    </row>
    <row r="349" spans="1:2">
      <c r="A349" s="28"/>
      <c r="B349" s="136"/>
    </row>
    <row r="350" spans="1:2">
      <c r="A350" s="28"/>
      <c r="B350" s="136"/>
    </row>
    <row r="351" spans="1:2">
      <c r="A351" s="35"/>
      <c r="B351" s="137"/>
    </row>
    <row r="352" spans="1:2">
      <c r="A352" s="28"/>
      <c r="B352" s="136"/>
    </row>
    <row r="353" spans="1:2">
      <c r="A353" s="28"/>
      <c r="B353" s="136"/>
    </row>
    <row r="354" spans="1:2">
      <c r="A354" s="28"/>
      <c r="B354" s="136"/>
    </row>
    <row r="355" spans="1:2">
      <c r="A355" s="28"/>
      <c r="B355" s="136"/>
    </row>
    <row r="356" spans="1:2">
      <c r="A356" s="35"/>
      <c r="B356" s="137"/>
    </row>
    <row r="357" spans="1:2">
      <c r="A357" s="28"/>
      <c r="B357" s="136"/>
    </row>
    <row r="358" spans="1:2">
      <c r="A358" s="28"/>
      <c r="B358" s="136"/>
    </row>
    <row r="359" spans="1:2">
      <c r="A359" s="28"/>
      <c r="B359" s="136"/>
    </row>
    <row r="360" spans="1:2">
      <c r="A360" s="28"/>
      <c r="B360" s="136"/>
    </row>
    <row r="361" spans="1:2">
      <c r="A361" s="28"/>
      <c r="B361" s="136"/>
    </row>
    <row r="362" spans="1:2">
      <c r="A362" s="28"/>
      <c r="B362" s="136"/>
    </row>
    <row r="363" spans="1:2">
      <c r="A363" s="28"/>
      <c r="B363" s="136"/>
    </row>
    <row r="364" spans="1:2">
      <c r="A364" s="35"/>
      <c r="B364" s="137"/>
    </row>
    <row r="365" spans="1:2">
      <c r="A365" s="28"/>
      <c r="B365" s="136"/>
    </row>
    <row r="366" spans="1:2">
      <c r="A366" s="35"/>
      <c r="B366" s="137"/>
    </row>
    <row r="367" spans="1:2">
      <c r="A367" s="28"/>
      <c r="B367" s="136"/>
    </row>
    <row r="368" spans="1:2">
      <c r="A368" s="28"/>
      <c r="B368" s="136"/>
    </row>
    <row r="369" spans="1:2">
      <c r="A369" s="28"/>
      <c r="B369" s="136"/>
    </row>
    <row r="370" spans="1:2">
      <c r="A370" s="28"/>
      <c r="B370" s="136"/>
    </row>
    <row r="371" spans="1:2">
      <c r="A371" s="28"/>
      <c r="B371" s="136"/>
    </row>
    <row r="372" spans="1:2">
      <c r="A372" s="28"/>
      <c r="B372" s="136"/>
    </row>
    <row r="373" spans="1:2">
      <c r="A373" s="28"/>
      <c r="B373" s="136"/>
    </row>
    <row r="374" spans="1:2">
      <c r="A374" s="28"/>
      <c r="B374" s="136"/>
    </row>
    <row r="375" spans="1:2">
      <c r="A375" s="28"/>
      <c r="B375" s="136"/>
    </row>
    <row r="376" spans="1:2">
      <c r="A376" s="35"/>
      <c r="B376" s="137"/>
    </row>
    <row r="377" spans="1:2">
      <c r="A377" s="28"/>
      <c r="B377" s="136"/>
    </row>
    <row r="378" spans="1:2">
      <c r="A378" s="28"/>
      <c r="B378" s="136"/>
    </row>
    <row r="379" spans="1:2">
      <c r="A379" s="35"/>
      <c r="B379" s="137"/>
    </row>
    <row r="380" spans="1:2">
      <c r="A380" s="28"/>
      <c r="B380" s="136"/>
    </row>
    <row r="381" spans="1:2">
      <c r="A381" s="28"/>
      <c r="B381" s="136"/>
    </row>
    <row r="382" spans="1:2">
      <c r="A382" s="28"/>
      <c r="B382" s="136"/>
    </row>
    <row r="383" spans="1:2">
      <c r="A383" s="28"/>
      <c r="B383" s="136"/>
    </row>
    <row r="384" spans="1:2">
      <c r="A384" s="28"/>
      <c r="B384" s="136"/>
    </row>
    <row r="385" spans="1:2">
      <c r="A385" s="28"/>
      <c r="B385" s="136"/>
    </row>
    <row r="386" spans="1:2">
      <c r="A386" s="28"/>
      <c r="B386" s="136"/>
    </row>
    <row r="387" spans="1:2">
      <c r="A387" s="28"/>
      <c r="B387" s="136"/>
    </row>
    <row r="388" spans="1:2">
      <c r="A388" s="35"/>
      <c r="B388" s="137"/>
    </row>
    <row r="389" spans="1:2">
      <c r="A389" s="41"/>
      <c r="B389" s="138"/>
    </row>
    <row r="390" spans="1:2">
      <c r="A390" s="48"/>
      <c r="B390" s="139"/>
    </row>
    <row r="391" spans="1:2">
      <c r="A391" s="57"/>
      <c r="B391" s="140"/>
    </row>
    <row r="392" spans="1:2" ht="15.6">
      <c r="A392" s="64"/>
      <c r="B392" s="141"/>
    </row>
    <row r="393" spans="1:2">
      <c r="A393" s="27"/>
      <c r="B393" s="140"/>
    </row>
    <row r="394" spans="1:2">
      <c r="A394" s="28"/>
      <c r="B394" s="136"/>
    </row>
    <row r="395" spans="1:2">
      <c r="A395" s="28"/>
      <c r="B395" s="136"/>
    </row>
    <row r="396" spans="1:2">
      <c r="A396" s="28"/>
      <c r="B396" s="136"/>
    </row>
    <row r="397" spans="1:2">
      <c r="A397" s="28"/>
      <c r="B397" s="136"/>
    </row>
    <row r="398" spans="1:2">
      <c r="A398" s="28"/>
      <c r="B398" s="136"/>
    </row>
    <row r="399" spans="1:2">
      <c r="A399" s="35"/>
      <c r="B399" s="137"/>
    </row>
    <row r="400" spans="1:2">
      <c r="A400" s="41"/>
      <c r="B400" s="138"/>
    </row>
    <row r="401" spans="1:2">
      <c r="A401" s="28"/>
      <c r="B401" s="136"/>
    </row>
    <row r="402" spans="1:2">
      <c r="A402" s="35"/>
      <c r="B402" s="137"/>
    </row>
    <row r="403" spans="1:2">
      <c r="A403" s="28"/>
      <c r="B403" s="136"/>
    </row>
    <row r="404" spans="1:2">
      <c r="A404" s="28"/>
      <c r="B404" s="136"/>
    </row>
    <row r="405" spans="1:2">
      <c r="A405" s="28"/>
      <c r="B405" s="136"/>
    </row>
    <row r="406" spans="1:2">
      <c r="A406" s="28"/>
      <c r="B406" s="136"/>
    </row>
    <row r="407" spans="1:2">
      <c r="A407" s="35"/>
      <c r="B407" s="137"/>
    </row>
    <row r="408" spans="1:2">
      <c r="A408" s="41"/>
      <c r="B408" s="138"/>
    </row>
    <row r="409" spans="1:2">
      <c r="A409" s="48"/>
      <c r="B409" s="139"/>
    </row>
    <row r="410" spans="1:2">
      <c r="A410" s="27"/>
      <c r="B410" s="140"/>
    </row>
    <row r="411" spans="1:2" ht="15.6">
      <c r="A411" s="77"/>
      <c r="B411" s="142"/>
    </row>
    <row r="412" spans="1:2" ht="15.6">
      <c r="A412" s="85"/>
      <c r="B412" s="85"/>
    </row>
    <row r="413" spans="1:2">
      <c r="A413" s="28"/>
      <c r="B413" s="136"/>
    </row>
    <row r="414" spans="1:2">
      <c r="A414" s="89"/>
      <c r="B414" s="143"/>
    </row>
    <row r="415" spans="1:2"/>
    <row r="416" spans="1:2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4114C-6A71-4077-8CE8-9F369F9CD0BB}">
  <dimension ref="A1:H118"/>
  <sheetViews>
    <sheetView workbookViewId="0">
      <pane xSplit="2" ySplit="2" topLeftCell="C3" activePane="bottomRight" state="frozen"/>
      <selection pane="bottomRight" activeCell="H85" sqref="H85"/>
      <selection pane="bottomLeft" activeCell="A4" sqref="A4"/>
      <selection pane="topRight" activeCell="C1" sqref="C1"/>
    </sheetView>
  </sheetViews>
  <sheetFormatPr defaultColWidth="11.42578125" defaultRowHeight="14.45" outlineLevelRow="1"/>
  <cols>
    <col min="2" max="2" width="27.85546875" customWidth="1"/>
    <col min="3" max="6" width="12.28515625" bestFit="1" customWidth="1"/>
  </cols>
  <sheetData>
    <row r="1" spans="1:6" ht="29.45" customHeight="1">
      <c r="A1" s="162" t="s">
        <v>51</v>
      </c>
      <c r="B1" s="155"/>
      <c r="C1" s="155" t="s">
        <v>234</v>
      </c>
      <c r="D1" s="155" t="s">
        <v>235</v>
      </c>
      <c r="E1" s="155" t="s">
        <v>235</v>
      </c>
      <c r="F1" s="155" t="s">
        <v>235</v>
      </c>
    </row>
    <row r="2" spans="1:6" ht="18">
      <c r="A2" s="155"/>
      <c r="B2" s="155"/>
      <c r="C2" s="158">
        <v>2021</v>
      </c>
      <c r="D2" s="158">
        <v>2021</v>
      </c>
      <c r="E2" s="158">
        <v>2022</v>
      </c>
      <c r="F2" s="158">
        <v>2023</v>
      </c>
    </row>
    <row r="3" spans="1:6">
      <c r="A3" s="23" t="s">
        <v>236</v>
      </c>
      <c r="C3" s="154">
        <f ca="1">IFERROR(VLOOKUP($A3,Balanse2021!$B$7:$H$200,5,FALSE),"")</f>
        <v>0</v>
      </c>
      <c r="D3" s="154">
        <f ca="1">IFERROR(VLOOKUP($A3,Balanse2021!$B$7:$H$200,7,FALSE),"")</f>
        <v>0</v>
      </c>
      <c r="E3" s="154">
        <f ca="1">IFERROR(VLOOKUP($A3,Balanse2022!$B$7:$H$200,7,FALSE),"")</f>
        <v>0</v>
      </c>
      <c r="F3" s="154">
        <f ca="1">IFERROR(VLOOKUP($A3,Balanse2023!$B$7:$H$200,7,FALSE),"")</f>
        <v>0</v>
      </c>
    </row>
    <row r="4" spans="1:6">
      <c r="A4" s="57" t="s">
        <v>36</v>
      </c>
      <c r="C4" s="154">
        <f ca="1">IFERROR(VLOOKUP($A4,Balanse2021!$B$7:$H$200,5,FALSE),"")</f>
        <v>0</v>
      </c>
      <c r="D4" s="154">
        <f ca="1">IFERROR(VLOOKUP($A4,Balanse2021!$B$7:$H$200,7,FALSE),"")</f>
        <v>0</v>
      </c>
      <c r="E4" s="154">
        <f ca="1">IFERROR(VLOOKUP($A4,Balanse2022!$B$7:$H$200,7,FALSE),"")</f>
        <v>0</v>
      </c>
      <c r="F4" s="154">
        <f ca="1">IFERROR(VLOOKUP($A4,Balanse2023!$B$7:$H$200,7,FALSE),"")</f>
        <v>0</v>
      </c>
    </row>
    <row r="5" spans="1:6">
      <c r="A5" s="110" t="str">
        <f>"    "&amp;"Transportmidler, inventar, maskiner o.l."</f>
        <v xml:space="preserve">    Transportmidler, inventar, maskiner o.l.</v>
      </c>
      <c r="C5" s="154">
        <f ca="1">IFERROR(VLOOKUP($A5,Balanse2021!$B$7:$H$200,5,FALSE),"")</f>
        <v>306920.42</v>
      </c>
      <c r="D5" s="154">
        <f ca="1">IFERROR(VLOOKUP($A5,Balanse2021!$B$7:$H$200,7,FALSE),"")</f>
        <v>255875.58999999997</v>
      </c>
      <c r="E5" s="154">
        <f ca="1">IFERROR(VLOOKUP($A5,Balanse2022!$B$7:$H$200,7,FALSE),"")</f>
        <v>139238.37</v>
      </c>
      <c r="F5" s="154">
        <f ca="1">IFERROR(VLOOKUP($A5,Balanse2023!$B$7:$H$200,7,FALSE),"")</f>
        <v>192728.44</v>
      </c>
    </row>
    <row r="6" spans="1:6" hidden="1" outlineLevel="1">
      <c r="A6" s="112">
        <v>1250</v>
      </c>
      <c r="B6" s="113" t="s">
        <v>152</v>
      </c>
      <c r="C6" s="154">
        <f ca="1">IFERROR(VLOOKUP($A6,Balanse2021!$B$7:$H$200,5,FALSE),"")</f>
        <v>306920.42</v>
      </c>
      <c r="D6" s="154">
        <f ca="1">IFERROR(VLOOKUP($A6,Balanse2021!$B$7:$H$200,7,FALSE),"")</f>
        <v>255875.58999999997</v>
      </c>
      <c r="E6" s="154">
        <f ca="1">IFERROR(VLOOKUP($A6,Balanse2022!$B$7:$H$200,7,FALSE),"")</f>
        <v>139238.37</v>
      </c>
      <c r="F6" s="154">
        <f ca="1">IFERROR(VLOOKUP($A6,Balanse2023!$B$7:$H$200,7,FALSE),"")</f>
        <v>192728.44</v>
      </c>
    </row>
    <row r="7" spans="1:6" collapsed="1">
      <c r="A7" s="110" t="str">
        <f>"    "&amp;"Finansielle anleggsmidler"</f>
        <v xml:space="preserve">    Finansielle anleggsmidler</v>
      </c>
      <c r="C7" s="154">
        <f ca="1">IFERROR(VLOOKUP($A7,Balanse2021!$B$7:$H$200,5,FALSE),"")</f>
        <v>5671215</v>
      </c>
      <c r="D7" s="154">
        <f ca="1">IFERROR(VLOOKUP($A7,Balanse2021!$B$7:$H$200,7,FALSE),"")</f>
        <v>5671215</v>
      </c>
      <c r="E7" s="154">
        <f ca="1">IFERROR(VLOOKUP($A7,Balanse2022!$B$7:$H$200,7,FALSE),"")</f>
        <v>5671215</v>
      </c>
      <c r="F7" s="154">
        <f ca="1">IFERROR(VLOOKUP($A7,Balanse2023!$B$7:$H$200,7,FALSE),"")</f>
        <v>6211215</v>
      </c>
    </row>
    <row r="8" spans="1:6" hidden="1" outlineLevel="1">
      <c r="A8" s="112">
        <v>1341</v>
      </c>
      <c r="B8" s="113" t="s">
        <v>237</v>
      </c>
      <c r="C8" s="154">
        <f ca="1">IFERROR(VLOOKUP($A8,Balanse2021!$B$7:$H$200,5,FALSE),"")</f>
        <v>5000000</v>
      </c>
      <c r="D8" s="154">
        <f ca="1">IFERROR(VLOOKUP($A8,Balanse2021!$B$7:$H$200,7,FALSE),"")</f>
        <v>5000000</v>
      </c>
      <c r="E8" s="154">
        <f ca="1">IFERROR(VLOOKUP($A8,Balanse2022!$B$7:$H$200,7,FALSE),"")</f>
        <v>5000000</v>
      </c>
      <c r="F8" s="154">
        <f ca="1">IFERROR(VLOOKUP($A8,Balanse2023!$B$7:$H$200,7,FALSE),"")</f>
        <v>5000000</v>
      </c>
    </row>
    <row r="9" spans="1:6" hidden="1" outlineLevel="1">
      <c r="A9" s="112">
        <v>1352</v>
      </c>
      <c r="B9" s="113" t="s">
        <v>238</v>
      </c>
      <c r="C9" s="154">
        <f ca="1">IFERROR(VLOOKUP($A9,Balanse2021!$B$7:$H$200,5,FALSE),"")</f>
        <v>667215</v>
      </c>
      <c r="D9" s="154">
        <f ca="1">IFERROR(VLOOKUP($A9,Balanse2021!$B$7:$H$200,7,FALSE),"")</f>
        <v>667215</v>
      </c>
      <c r="E9" s="154">
        <f ca="1">IFERROR(VLOOKUP($A9,Balanse2022!$B$7:$H$200,7,FALSE),"")</f>
        <v>667215</v>
      </c>
      <c r="F9" s="154">
        <f ca="1">IFERROR(VLOOKUP($A9,Balanse2023!$B$7:$H$200,7,FALSE),"")</f>
        <v>667215</v>
      </c>
    </row>
    <row r="10" spans="1:6" hidden="1" outlineLevel="1">
      <c r="A10" s="112">
        <v>1353</v>
      </c>
      <c r="B10" s="113" t="s">
        <v>239</v>
      </c>
      <c r="C10" s="154">
        <f ca="1">IFERROR(VLOOKUP($A10,Balanse2021!$B$7:$H$200,5,FALSE),"")</f>
        <v>4000</v>
      </c>
      <c r="D10" s="154">
        <f ca="1">IFERROR(VLOOKUP($A10,Balanse2021!$B$7:$H$200,7,FALSE),"")</f>
        <v>4000</v>
      </c>
      <c r="E10" s="154">
        <f ca="1">IFERROR(VLOOKUP($A10,Balanse2022!$B$7:$H$200,7,FALSE),"")</f>
        <v>4000</v>
      </c>
      <c r="F10" s="154">
        <f ca="1">IFERROR(VLOOKUP($A10,Balanse2023!$B$7:$H$200,7,FALSE),"")</f>
        <v>4000</v>
      </c>
    </row>
    <row r="11" spans="1:6" hidden="1" outlineLevel="1">
      <c r="A11" s="112">
        <v>1354</v>
      </c>
      <c r="B11" s="113" t="s">
        <v>240</v>
      </c>
      <c r="C11" s="154" t="str">
        <f ca="1">IFERROR(VLOOKUP($A11,Balanse2021!$B$7:$H$200,5,FALSE),"")</f>
        <v/>
      </c>
      <c r="D11" s="154" t="str">
        <f ca="1">IFERROR(VLOOKUP($A11,Balanse2021!$B$7:$H$200,7,FALSE),"")</f>
        <v/>
      </c>
      <c r="E11" s="154" t="str">
        <f ca="1">IFERROR(VLOOKUP($A11,Balanse2022!$B$7:$H$200,7,FALSE),"")</f>
        <v/>
      </c>
      <c r="F11" s="154">
        <f ca="1">IFERROR(VLOOKUP($A11,Balanse2023!$B$7:$H$200,7,FALSE),"")</f>
        <v>1700000</v>
      </c>
    </row>
    <row r="12" spans="1:6" hidden="1" outlineLevel="1">
      <c r="A12" s="112">
        <v>1355</v>
      </c>
      <c r="B12" s="113" t="s">
        <v>241</v>
      </c>
      <c r="C12" s="154" t="str">
        <f ca="1">IFERROR(VLOOKUP($A12,Balanse2021!$B$7:$H$200,5,FALSE),"")</f>
        <v/>
      </c>
      <c r="D12" s="154" t="str">
        <f ca="1">IFERROR(VLOOKUP($A12,Balanse2021!$B$7:$H$200,7,FALSE),"")</f>
        <v/>
      </c>
      <c r="E12" s="154" t="str">
        <f ca="1">IFERROR(VLOOKUP($A12,Balanse2022!$B$7:$H$200,7,FALSE),"")</f>
        <v/>
      </c>
      <c r="F12" s="154">
        <f ca="1">IFERROR(VLOOKUP($A12,Balanse2023!$B$7:$H$200,7,FALSE),"")</f>
        <v>-1160000</v>
      </c>
    </row>
    <row r="13" spans="1:6" collapsed="1">
      <c r="A13" s="48" t="str">
        <f>"Sum " &amp; LOWER("Anleggsmidler")</f>
        <v>Sum anleggsmidler</v>
      </c>
      <c r="B13" s="49"/>
      <c r="C13" s="156">
        <f ca="1">IFERROR(VLOOKUP($A13,Balanse2021!$B$7:$H$200,5,FALSE),"")</f>
        <v>5978135.4199999999</v>
      </c>
      <c r="D13" s="156">
        <f ca="1">IFERROR(VLOOKUP($A13,Balanse2021!$B$7:$H$200,7,FALSE),"")</f>
        <v>5927090.5899999999</v>
      </c>
      <c r="E13" s="156">
        <f ca="1">IFERROR(VLOOKUP($A13,Balanse2022!$B$7:$H$200,7,FALSE),"")</f>
        <v>5810453.3700000001</v>
      </c>
      <c r="F13" s="156">
        <f ca="1">IFERROR(VLOOKUP($A13,Balanse2023!$B$7:$H$200,7,FALSE),"")</f>
        <v>6403943.4400000004</v>
      </c>
    </row>
    <row r="14" spans="1:6">
      <c r="A14" s="23"/>
      <c r="B14" s="1"/>
      <c r="C14" s="154" t="str">
        <f ca="1">IFERROR(VLOOKUP($A14,Balanse2021!$B$7:$H$200,5,FALSE),"")</f>
        <v/>
      </c>
      <c r="D14" s="154" t="str">
        <f ca="1">IFERROR(VLOOKUP($A14,Balanse2021!$B$7:$H$200,7,FALSE),"")</f>
        <v/>
      </c>
      <c r="E14" s="154" t="str">
        <f ca="1">IFERROR(VLOOKUP($A14,Balanse2022!$B$7:$H$200,7,FALSE),"")</f>
        <v/>
      </c>
      <c r="F14" s="154" t="str">
        <f ca="1">IFERROR(VLOOKUP($A14,Balanse2023!$B$7:$H$200,7,FALSE),"")</f>
        <v/>
      </c>
    </row>
    <row r="15" spans="1:6">
      <c r="A15" s="57" t="s">
        <v>38</v>
      </c>
      <c r="C15" s="154">
        <f ca="1">IFERROR(VLOOKUP($A15,Balanse2021!$B$7:$H$200,5,FALSE),"")</f>
        <v>0</v>
      </c>
      <c r="D15" s="154">
        <f ca="1">IFERROR(VLOOKUP($A15,Balanse2021!$B$7:$H$200,7,FALSE),"")</f>
        <v>0</v>
      </c>
      <c r="E15" s="154">
        <f ca="1">IFERROR(VLOOKUP($A15,Balanse2022!$B$7:$H$200,7,FALSE),"")</f>
        <v>0</v>
      </c>
      <c r="F15" s="154">
        <f ca="1">IFERROR(VLOOKUP($A15,Balanse2023!$B$7:$H$200,7,FALSE),"")</f>
        <v>0</v>
      </c>
    </row>
    <row r="16" spans="1:6">
      <c r="A16" s="110" t="str">
        <f>"    "&amp;"Kortsiktige fordringer"</f>
        <v xml:space="preserve">    Kortsiktige fordringer</v>
      </c>
      <c r="C16" s="154">
        <f ca="1">IFERROR(VLOOKUP($A16,Balanse2021!$B$7:$H$200,5,FALSE),"")</f>
        <v>749345.04</v>
      </c>
      <c r="D16" s="154">
        <f ca="1">IFERROR(VLOOKUP($A16,Balanse2021!$B$7:$H$200,7,FALSE),"")</f>
        <v>281303.18999999994</v>
      </c>
      <c r="E16" s="154">
        <f ca="1">IFERROR(VLOOKUP($A16,Balanse2022!$B$7:$H$200,7,FALSE),"")</f>
        <v>253788.28</v>
      </c>
      <c r="F16" s="154">
        <f ca="1">IFERROR(VLOOKUP($A16,Balanse2023!$B$7:$H$200,7,FALSE),"")</f>
        <v>651648.1100000001</v>
      </c>
    </row>
    <row r="17" spans="1:6" hidden="1" outlineLevel="1">
      <c r="A17" s="112">
        <v>1500</v>
      </c>
      <c r="B17" s="113" t="s">
        <v>242</v>
      </c>
      <c r="C17" s="154">
        <f ca="1">IFERROR(VLOOKUP($A17,Balanse2021!$B$7:$H$200,5,FALSE),"")</f>
        <v>219079.62</v>
      </c>
      <c r="D17" s="154">
        <f ca="1">IFERROR(VLOOKUP($A17,Balanse2021!$B$7:$H$200,7,FALSE),"")</f>
        <v>121970</v>
      </c>
      <c r="E17" s="154">
        <f ca="1">IFERROR(VLOOKUP($A17,Balanse2022!$B$7:$H$200,7,FALSE),"")</f>
        <v>5990</v>
      </c>
      <c r="F17" s="154">
        <f ca="1">IFERROR(VLOOKUP($A17,Balanse2023!$B$7:$H$200,7,FALSE),"")</f>
        <v>302756.78000000003</v>
      </c>
    </row>
    <row r="18" spans="1:6" hidden="1" outlineLevel="1">
      <c r="A18" s="112">
        <v>1505</v>
      </c>
      <c r="B18" s="113" t="s">
        <v>243</v>
      </c>
      <c r="C18" s="154">
        <f ca="1">IFERROR(VLOOKUP($A18,Balanse2021!$B$7:$H$200,5,FALSE),"")</f>
        <v>356610.79</v>
      </c>
      <c r="D18" s="154">
        <f ca="1">IFERROR(VLOOKUP($A18,Balanse2021!$B$7:$H$200,7,FALSE),"")</f>
        <v>0</v>
      </c>
      <c r="E18" s="154" t="str">
        <f ca="1">IFERROR(VLOOKUP($A18,Balanse2022!$B$7:$H$200,7,FALSE),"")</f>
        <v/>
      </c>
      <c r="F18" s="154" t="str">
        <f ca="1">IFERROR(VLOOKUP($A18,Balanse2023!$B$7:$H$200,7,FALSE),"")</f>
        <v/>
      </c>
    </row>
    <row r="19" spans="1:6" hidden="1" outlineLevel="1">
      <c r="A19" s="112">
        <v>1506</v>
      </c>
      <c r="B19" s="113" t="s">
        <v>244</v>
      </c>
      <c r="C19" s="154">
        <f ca="1">IFERROR(VLOOKUP($A19,Balanse2021!$B$7:$H$200,5,FALSE),"")</f>
        <v>272035.08</v>
      </c>
      <c r="D19" s="154">
        <f ca="1">IFERROR(VLOOKUP($A19,Balanse2021!$B$7:$H$200,7,FALSE),"")</f>
        <v>14693.350000000006</v>
      </c>
      <c r="E19" s="154">
        <f ca="1">IFERROR(VLOOKUP($A19,Balanse2022!$B$7:$H$200,7,FALSE),"")</f>
        <v>82244.090000000011</v>
      </c>
      <c r="F19" s="154">
        <f ca="1">IFERROR(VLOOKUP($A19,Balanse2023!$B$7:$H$200,7,FALSE),"")</f>
        <v>71201.34</v>
      </c>
    </row>
    <row r="20" spans="1:6" hidden="1" outlineLevel="1">
      <c r="A20" s="112">
        <v>1516</v>
      </c>
      <c r="B20" s="113" t="s">
        <v>245</v>
      </c>
      <c r="C20" s="154" t="str">
        <f ca="1">IFERROR(VLOOKUP($A20,Balanse2021!$B$7:$H$200,5,FALSE),"")</f>
        <v/>
      </c>
      <c r="D20" s="154" t="str">
        <f ca="1">IFERROR(VLOOKUP($A20,Balanse2021!$B$7:$H$200,7,FALSE),"")</f>
        <v/>
      </c>
      <c r="E20" s="154" t="str">
        <f ca="1">IFERROR(VLOOKUP($A20,Balanse2022!$B$7:$H$200,7,FALSE),"")</f>
        <v/>
      </c>
      <c r="F20" s="154">
        <f ca="1">IFERROR(VLOOKUP($A20,Balanse2023!$B$7:$H$200,7,FALSE),"")</f>
        <v>106327</v>
      </c>
    </row>
    <row r="21" spans="1:6" hidden="1" outlineLevel="1">
      <c r="A21" s="112">
        <v>1517</v>
      </c>
      <c r="B21" s="113" t="s">
        <v>246</v>
      </c>
      <c r="C21" s="154" t="str">
        <f ca="1">IFERROR(VLOOKUP($A21,Balanse2021!$B$7:$H$200,5,FALSE),"")</f>
        <v/>
      </c>
      <c r="D21" s="154" t="str">
        <f ca="1">IFERROR(VLOOKUP($A21,Balanse2021!$B$7:$H$200,7,FALSE),"")</f>
        <v/>
      </c>
      <c r="E21" s="154" t="str">
        <f ca="1">IFERROR(VLOOKUP($A21,Balanse2022!$B$7:$H$200,7,FALSE),"")</f>
        <v/>
      </c>
      <c r="F21" s="154">
        <f ca="1">IFERROR(VLOOKUP($A21,Balanse2023!$B$7:$H$200,7,FALSE),"")</f>
        <v>23653</v>
      </c>
    </row>
    <row r="22" spans="1:6" hidden="1" outlineLevel="1">
      <c r="A22" s="112">
        <v>1518</v>
      </c>
      <c r="B22" s="113" t="s">
        <v>247</v>
      </c>
      <c r="C22" s="154" t="str">
        <f ca="1">IFERROR(VLOOKUP($A22,Balanse2021!$B$7:$H$200,5,FALSE),"")</f>
        <v/>
      </c>
      <c r="D22" s="154" t="str">
        <f ca="1">IFERROR(VLOOKUP($A22,Balanse2021!$B$7:$H$200,7,FALSE),"")</f>
        <v/>
      </c>
      <c r="E22" s="154" t="str">
        <f ca="1">IFERROR(VLOOKUP($A22,Balanse2022!$B$7:$H$200,7,FALSE),"")</f>
        <v/>
      </c>
      <c r="F22" s="154">
        <f ca="1">IFERROR(VLOOKUP($A22,Balanse2023!$B$7:$H$200,7,FALSE),"")</f>
        <v>0</v>
      </c>
    </row>
    <row r="23" spans="1:6" hidden="1" outlineLevel="1">
      <c r="A23" s="112">
        <v>1573</v>
      </c>
      <c r="B23" s="113" t="s">
        <v>248</v>
      </c>
      <c r="C23" s="154" t="str">
        <f ca="1">IFERROR(VLOOKUP($A23,Balanse2021!$B$7:$H$200,5,FALSE),"")</f>
        <v/>
      </c>
      <c r="D23" s="154" t="str">
        <f ca="1">IFERROR(VLOOKUP($A23,Balanse2021!$B$7:$H$200,7,FALSE),"")</f>
        <v/>
      </c>
      <c r="E23" s="154">
        <f ca="1">IFERROR(VLOOKUP($A23,Balanse2022!$B$7:$H$200,7,FALSE),"")</f>
        <v>0</v>
      </c>
      <c r="F23" s="154">
        <f ca="1">IFERROR(VLOOKUP($A23,Balanse2023!$B$7:$H$200,7,FALSE),"")</f>
        <v>0</v>
      </c>
    </row>
    <row r="24" spans="1:6" hidden="1" outlineLevel="1">
      <c r="A24" s="112">
        <v>1575</v>
      </c>
      <c r="B24" s="113" t="s">
        <v>249</v>
      </c>
      <c r="C24" s="154" t="str">
        <f ca="1">IFERROR(VLOOKUP($A24,Balanse2021!$B$7:$H$200,5,FALSE),"")</f>
        <v/>
      </c>
      <c r="D24" s="154" t="str">
        <f ca="1">IFERROR(VLOOKUP($A24,Balanse2021!$B$7:$H$200,7,FALSE),"")</f>
        <v/>
      </c>
      <c r="E24" s="154" t="str">
        <f ca="1">IFERROR(VLOOKUP($A24,Balanse2022!$B$7:$H$200,7,FALSE),"")</f>
        <v/>
      </c>
      <c r="F24" s="154">
        <f ca="1">IFERROR(VLOOKUP($A24,Balanse2023!$B$7:$H$200,7,FALSE),"")</f>
        <v>61469</v>
      </c>
    </row>
    <row r="25" spans="1:6" hidden="1" outlineLevel="1">
      <c r="A25" s="112">
        <v>1576</v>
      </c>
      <c r="B25" s="113" t="s">
        <v>250</v>
      </c>
      <c r="C25" s="154">
        <f ca="1">IFERROR(VLOOKUP($A25,Balanse2021!$B$7:$H$200,5,FALSE),"")</f>
        <v>0</v>
      </c>
      <c r="D25" s="154">
        <f ca="1">IFERROR(VLOOKUP($A25,Balanse2021!$B$7:$H$200,7,FALSE),"")</f>
        <v>0</v>
      </c>
      <c r="E25" s="154" t="str">
        <f ca="1">IFERROR(VLOOKUP($A25,Balanse2022!$B$7:$H$200,7,FALSE),"")</f>
        <v/>
      </c>
      <c r="F25" s="154" t="str">
        <f ca="1">IFERROR(VLOOKUP($A25,Balanse2023!$B$7:$H$200,7,FALSE),"")</f>
        <v/>
      </c>
    </row>
    <row r="26" spans="1:6" hidden="1" outlineLevel="1">
      <c r="A26" s="112">
        <v>1577</v>
      </c>
      <c r="B26" s="113" t="s">
        <v>251</v>
      </c>
      <c r="C26" s="154">
        <f ca="1">IFERROR(VLOOKUP($A26,Balanse2021!$B$7:$H$200,5,FALSE),"")</f>
        <v>390.28</v>
      </c>
      <c r="D26" s="154">
        <f ca="1">IFERROR(VLOOKUP($A26,Balanse2021!$B$7:$H$200,7,FALSE),"")</f>
        <v>-693.99</v>
      </c>
      <c r="E26" s="154">
        <f ca="1">IFERROR(VLOOKUP($A26,Balanse2022!$B$7:$H$200,7,FALSE),"")</f>
        <v>0</v>
      </c>
      <c r="F26" s="154">
        <f ca="1">IFERROR(VLOOKUP($A26,Balanse2023!$B$7:$H$200,7,FALSE),"")</f>
        <v>9265.5300000000007</v>
      </c>
    </row>
    <row r="27" spans="1:6" hidden="1" outlineLevel="1">
      <c r="A27" s="112">
        <v>1578</v>
      </c>
      <c r="B27" s="113" t="s">
        <v>252</v>
      </c>
      <c r="C27" s="154">
        <f ca="1">IFERROR(VLOOKUP($A27,Balanse2021!$B$7:$H$200,5,FALSE),"")</f>
        <v>0</v>
      </c>
      <c r="D27" s="154">
        <f ca="1">IFERROR(VLOOKUP($A27,Balanse2021!$B$7:$H$200,7,FALSE),"")</f>
        <v>122432.35</v>
      </c>
      <c r="E27" s="154">
        <f ca="1">IFERROR(VLOOKUP($A27,Balanse2022!$B$7:$H$200,7,FALSE),"")</f>
        <v>104651.19</v>
      </c>
      <c r="F27" s="154">
        <f ca="1">IFERROR(VLOOKUP($A27,Balanse2023!$B$7:$H$200,7,FALSE),"")</f>
        <v>0</v>
      </c>
    </row>
    <row r="28" spans="1:6" hidden="1" outlineLevel="1">
      <c r="A28" s="112">
        <v>1579</v>
      </c>
      <c r="B28" s="113" t="s">
        <v>253</v>
      </c>
      <c r="C28" s="154">
        <f ca="1">IFERROR(VLOOKUP($A28,Balanse2021!$B$7:$H$200,5,FALSE),"")</f>
        <v>96691</v>
      </c>
      <c r="D28" s="154">
        <f ca="1">IFERROR(VLOOKUP($A28,Balanse2021!$B$7:$H$200,7,FALSE),"")</f>
        <v>0</v>
      </c>
      <c r="E28" s="154">
        <f ca="1">IFERROR(VLOOKUP($A28,Balanse2022!$B$7:$H$200,7,FALSE),"")</f>
        <v>27270</v>
      </c>
      <c r="F28" s="154">
        <f ca="1">IFERROR(VLOOKUP($A28,Balanse2023!$B$7:$H$200,7,FALSE),"")</f>
        <v>0</v>
      </c>
    </row>
    <row r="29" spans="1:6" hidden="1" outlineLevel="1">
      <c r="A29" s="112">
        <v>1580</v>
      </c>
      <c r="B29" s="113" t="s">
        <v>208</v>
      </c>
      <c r="C29" s="154">
        <f ca="1">IFERROR(VLOOKUP($A29,Balanse2021!$B$7:$H$200,5,FALSE),"")</f>
        <v>-195461.73</v>
      </c>
      <c r="D29" s="154">
        <f ca="1">IFERROR(VLOOKUP($A29,Balanse2021!$B$7:$H$200,7,FALSE),"")</f>
        <v>0</v>
      </c>
      <c r="E29" s="154" t="str">
        <f ca="1">IFERROR(VLOOKUP($A29,Balanse2022!$B$7:$H$200,7,FALSE),"")</f>
        <v/>
      </c>
      <c r="F29" s="154" t="str">
        <f ca="1">IFERROR(VLOOKUP($A29,Balanse2023!$B$7:$H$200,7,FALSE),"")</f>
        <v/>
      </c>
    </row>
    <row r="30" spans="1:6" hidden="1" outlineLevel="1">
      <c r="A30" s="112">
        <v>2998</v>
      </c>
      <c r="B30" s="113" t="s">
        <v>254</v>
      </c>
      <c r="C30" s="154">
        <f ca="1">IFERROR(VLOOKUP($A30,Balanse2021!$B$7:$H$200,5,FALSE),"")</f>
        <v>0</v>
      </c>
      <c r="D30" s="154">
        <f ca="1">IFERROR(VLOOKUP($A30,Balanse2021!$B$7:$H$200,7,FALSE),"")</f>
        <v>22901.48</v>
      </c>
      <c r="E30" s="154">
        <f ca="1">IFERROR(VLOOKUP($A30,Balanse2022!$B$7:$H$200,7,FALSE),"")</f>
        <v>33633</v>
      </c>
      <c r="F30" s="154">
        <f ca="1">IFERROR(VLOOKUP($A30,Balanse2023!$B$7:$H$200,7,FALSE),"")</f>
        <v>0</v>
      </c>
    </row>
    <row r="31" spans="1:6" collapsed="1">
      <c r="A31" s="110" t="str">
        <f>"    "&amp;"Forskuddsbetalt kostnad, påløpt inntekt o.l."</f>
        <v xml:space="preserve">    Forskuddsbetalt kostnad, påløpt inntekt o.l.</v>
      </c>
      <c r="C31" s="154">
        <f ca="1">IFERROR(VLOOKUP($A31,Balanse2021!$B$7:$H$200,5,FALSE),"")</f>
        <v>541582.75</v>
      </c>
      <c r="D31" s="154">
        <f ca="1">IFERROR(VLOOKUP($A31,Balanse2021!$B$7:$H$200,7,FALSE),"")</f>
        <v>64668.989999999991</v>
      </c>
      <c r="E31" s="154">
        <f ca="1">IFERROR(VLOOKUP($A31,Balanse2022!$B$7:$H$200,7,FALSE),"")</f>
        <v>581121.55000000005</v>
      </c>
      <c r="F31" s="154">
        <f ca="1">IFERROR(VLOOKUP($A31,Balanse2023!$B$7:$H$200,7,FALSE),"")</f>
        <v>695323.25000000012</v>
      </c>
    </row>
    <row r="32" spans="1:6" hidden="1" outlineLevel="1">
      <c r="A32" s="112">
        <v>1740</v>
      </c>
      <c r="B32" s="113" t="s">
        <v>255</v>
      </c>
      <c r="C32" s="154">
        <f ca="1">IFERROR(VLOOKUP($A32,Balanse2021!$B$7:$H$200,5,FALSE),"")</f>
        <v>15262.5</v>
      </c>
      <c r="D32" s="154">
        <f ca="1">IFERROR(VLOOKUP($A32,Balanse2021!$B$7:$H$200,7,FALSE),"")</f>
        <v>0</v>
      </c>
      <c r="E32" s="154" t="str">
        <f ca="1">IFERROR(VLOOKUP($A32,Balanse2022!$B$7:$H$200,7,FALSE),"")</f>
        <v/>
      </c>
      <c r="F32" s="154" t="str">
        <f ca="1">IFERROR(VLOOKUP($A32,Balanse2023!$B$7:$H$200,7,FALSE),"")</f>
        <v/>
      </c>
    </row>
    <row r="33" spans="1:6" hidden="1" outlineLevel="1">
      <c r="A33" s="112">
        <v>1742</v>
      </c>
      <c r="B33" s="113" t="s">
        <v>256</v>
      </c>
      <c r="C33" s="154">
        <f ca="1">IFERROR(VLOOKUP($A33,Balanse2021!$B$7:$H$200,5,FALSE),"")</f>
        <v>510692.25</v>
      </c>
      <c r="D33" s="154">
        <f ca="1">IFERROR(VLOOKUP($A33,Balanse2021!$B$7:$H$200,7,FALSE),"")</f>
        <v>0</v>
      </c>
      <c r="E33" s="154">
        <f ca="1">IFERROR(VLOOKUP($A33,Balanse2022!$B$7:$H$200,7,FALSE),"")</f>
        <v>210264</v>
      </c>
      <c r="F33" s="154">
        <f ca="1">IFERROR(VLOOKUP($A33,Balanse2023!$B$7:$H$200,7,FALSE),"")</f>
        <v>581119.25</v>
      </c>
    </row>
    <row r="34" spans="1:6" hidden="1" outlineLevel="1">
      <c r="A34" s="112">
        <v>1749</v>
      </c>
      <c r="B34" s="113" t="s">
        <v>257</v>
      </c>
      <c r="C34" s="154">
        <f ca="1">IFERROR(VLOOKUP($A34,Balanse2021!$B$7:$H$200,5,FALSE),"")</f>
        <v>0</v>
      </c>
      <c r="D34" s="154">
        <f ca="1">IFERROR(VLOOKUP($A34,Balanse2021!$B$7:$H$200,7,FALSE),"")</f>
        <v>46668.99</v>
      </c>
      <c r="E34" s="154">
        <f ca="1">IFERROR(VLOOKUP($A34,Balanse2022!$B$7:$H$200,7,FALSE),"")</f>
        <v>368647.55</v>
      </c>
      <c r="F34" s="154">
        <f ca="1">IFERROR(VLOOKUP($A34,Balanse2023!$B$7:$H$200,7,FALSE),"")</f>
        <v>79044.450000000012</v>
      </c>
    </row>
    <row r="35" spans="1:6" hidden="1" outlineLevel="1">
      <c r="A35" s="112">
        <v>1751</v>
      </c>
      <c r="B35" s="113" t="s">
        <v>258</v>
      </c>
      <c r="C35" s="154">
        <f ca="1">IFERROR(VLOOKUP($A35,Balanse2021!$B$7:$H$200,5,FALSE),"")</f>
        <v>0</v>
      </c>
      <c r="D35" s="154">
        <f ca="1">IFERROR(VLOOKUP($A35,Balanse2021!$B$7:$H$200,7,FALSE),"")</f>
        <v>0</v>
      </c>
      <c r="E35" s="154">
        <f ca="1">IFERROR(VLOOKUP($A35,Balanse2022!$B$7:$H$200,7,FALSE),"")</f>
        <v>0</v>
      </c>
      <c r="F35" s="154">
        <f ca="1">IFERROR(VLOOKUP($A35,Balanse2023!$B$7:$H$200,7,FALSE),"")</f>
        <v>0</v>
      </c>
    </row>
    <row r="36" spans="1:6" hidden="1" outlineLevel="1">
      <c r="A36" s="112">
        <v>1790</v>
      </c>
      <c r="B36" s="113" t="s">
        <v>259</v>
      </c>
      <c r="C36" s="154">
        <f ca="1">IFERROR(VLOOKUP($A36,Balanse2021!$B$7:$H$200,5,FALSE),"")</f>
        <v>6828</v>
      </c>
      <c r="D36" s="154">
        <f ca="1">IFERROR(VLOOKUP($A36,Balanse2021!$B$7:$H$200,7,FALSE),"")</f>
        <v>18000</v>
      </c>
      <c r="E36" s="154">
        <f ca="1">IFERROR(VLOOKUP($A36,Balanse2022!$B$7:$H$200,7,FALSE),"")</f>
        <v>10</v>
      </c>
      <c r="F36" s="154">
        <f ca="1">IFERROR(VLOOKUP($A36,Balanse2023!$B$7:$H$200,7,FALSE),"")</f>
        <v>13000</v>
      </c>
    </row>
    <row r="37" spans="1:6" hidden="1" outlineLevel="1">
      <c r="A37" s="112">
        <v>1791</v>
      </c>
      <c r="B37" s="113" t="s">
        <v>260</v>
      </c>
      <c r="C37" s="154">
        <f ca="1">IFERROR(VLOOKUP($A37,Balanse2021!$B$7:$H$200,5,FALSE),"")</f>
        <v>8800</v>
      </c>
      <c r="D37" s="154">
        <f ca="1">IFERROR(VLOOKUP($A37,Balanse2021!$B$7:$H$200,7,FALSE),"")</f>
        <v>0</v>
      </c>
      <c r="E37" s="154">
        <f ca="1">IFERROR(VLOOKUP($A37,Balanse2022!$B$7:$H$200,7,FALSE),"")</f>
        <v>2200</v>
      </c>
      <c r="F37" s="154">
        <f ca="1">IFERROR(VLOOKUP($A37,Balanse2023!$B$7:$H$200,7,FALSE),"")</f>
        <v>22159.55</v>
      </c>
    </row>
    <row r="38" spans="1:6" hidden="1" outlineLevel="1">
      <c r="A38" s="112">
        <v>1799</v>
      </c>
      <c r="B38" s="113" t="s">
        <v>261</v>
      </c>
      <c r="C38" s="154">
        <f ca="1">IFERROR(VLOOKUP($A38,Balanse2021!$B$7:$H$200,5,FALSE),"")</f>
        <v>0</v>
      </c>
      <c r="D38" s="154">
        <f ca="1">IFERROR(VLOOKUP($A38,Balanse2021!$B$7:$H$200,7,FALSE),"")</f>
        <v>0</v>
      </c>
      <c r="E38" s="154">
        <f ca="1">IFERROR(VLOOKUP($A38,Balanse2022!$B$7:$H$200,7,FALSE),"")</f>
        <v>0</v>
      </c>
      <c r="F38" s="154">
        <f ca="1">IFERROR(VLOOKUP($A38,Balanse2023!$B$7:$H$200,7,FALSE),"")</f>
        <v>0</v>
      </c>
    </row>
    <row r="39" spans="1:6" collapsed="1">
      <c r="A39" s="110" t="str">
        <f>"    "&amp;"Kortsiktige finansinvesteringer"</f>
        <v xml:space="preserve">    Kortsiktige finansinvesteringer</v>
      </c>
      <c r="C39" s="154">
        <f ca="1">IFERROR(VLOOKUP($A39,Balanse2021!$B$7:$H$200,5,FALSE),"")</f>
        <v>39149196.43</v>
      </c>
      <c r="D39" s="154">
        <f ca="1">IFERROR(VLOOKUP($A39,Balanse2021!$B$7:$H$200,7,FALSE),"")</f>
        <v>39203964.869999997</v>
      </c>
      <c r="E39" s="154">
        <f ca="1">IFERROR(VLOOKUP($A39,Balanse2022!$B$7:$H$200,7,FALSE),"")</f>
        <v>38034753.169999994</v>
      </c>
      <c r="F39" s="154">
        <f ca="1">IFERROR(VLOOKUP($A39,Balanse2023!$B$7:$H$200,7,FALSE),"")</f>
        <v>64990073.849999994</v>
      </c>
    </row>
    <row r="40" spans="1:6" hidden="1" outlineLevel="1">
      <c r="A40" s="112">
        <v>1830</v>
      </c>
      <c r="B40" s="113" t="s">
        <v>262</v>
      </c>
      <c r="C40" s="154">
        <f ca="1">IFERROR(VLOOKUP($A40,Balanse2021!$B$7:$H$200,5,FALSE),"")</f>
        <v>39149196.43</v>
      </c>
      <c r="D40" s="154">
        <f ca="1">IFERROR(VLOOKUP($A40,Balanse2021!$B$7:$H$200,7,FALSE),"")</f>
        <v>39203964.869999997</v>
      </c>
      <c r="E40" s="154">
        <f ca="1">IFERROR(VLOOKUP($A40,Balanse2022!$B$7:$H$200,7,FALSE),"")</f>
        <v>38034753.169999994</v>
      </c>
      <c r="F40" s="154">
        <f ca="1">IFERROR(VLOOKUP($A40,Balanse2023!$B$7:$H$200,7,FALSE),"")</f>
        <v>0</v>
      </c>
    </row>
    <row r="41" spans="1:6" hidden="1" outlineLevel="1">
      <c r="A41" s="112">
        <v>1831</v>
      </c>
      <c r="B41" s="113" t="s">
        <v>263</v>
      </c>
      <c r="C41" s="154" t="str">
        <f ca="1">IFERROR(VLOOKUP($A41,Balanse2021!$B$7:$H$200,5,FALSE),"")</f>
        <v/>
      </c>
      <c r="D41" s="154" t="str">
        <f ca="1">IFERROR(VLOOKUP($A41,Balanse2021!$B$7:$H$200,7,FALSE),"")</f>
        <v/>
      </c>
      <c r="E41" s="154" t="str">
        <f ca="1">IFERROR(VLOOKUP($A41,Balanse2022!$B$7:$H$200,7,FALSE),"")</f>
        <v/>
      </c>
      <c r="F41" s="154">
        <f ca="1">IFERROR(VLOOKUP($A41,Balanse2023!$B$7:$H$200,7,FALSE),"")</f>
        <v>52343323.649999999</v>
      </c>
    </row>
    <row r="42" spans="1:6" hidden="1" outlineLevel="1">
      <c r="A42" s="112">
        <v>1832</v>
      </c>
      <c r="B42" s="113" t="s">
        <v>263</v>
      </c>
      <c r="C42" s="154" t="str">
        <f ca="1">IFERROR(VLOOKUP($A42,Balanse2021!$B$7:$H$200,5,FALSE),"")</f>
        <v/>
      </c>
      <c r="D42" s="154" t="str">
        <f ca="1">IFERROR(VLOOKUP($A42,Balanse2021!$B$7:$H$200,7,FALSE),"")</f>
        <v/>
      </c>
      <c r="E42" s="154" t="str">
        <f ca="1">IFERROR(VLOOKUP($A42,Balanse2022!$B$7:$H$200,7,FALSE),"")</f>
        <v/>
      </c>
      <c r="F42" s="154">
        <f ca="1">IFERROR(VLOOKUP($A42,Balanse2023!$B$7:$H$200,7,FALSE),"")</f>
        <v>12646750.199999999</v>
      </c>
    </row>
    <row r="43" spans="1:6" collapsed="1">
      <c r="A43" s="110" t="str">
        <f>"    "&amp;"Kontanter, bankinnskudd o.l."</f>
        <v xml:space="preserve">    Kontanter, bankinnskudd o.l.</v>
      </c>
      <c r="C43" s="154">
        <f ca="1">IFERROR(VLOOKUP($A43,Balanse2021!$B$7:$H$200,5,FALSE),"")</f>
        <v>43829410.369999997</v>
      </c>
      <c r="D43" s="154">
        <f ca="1">IFERROR(VLOOKUP($A43,Balanse2021!$B$7:$H$200,7,FALSE),"")</f>
        <v>34655016.370000005</v>
      </c>
      <c r="E43" s="154">
        <f ca="1">IFERROR(VLOOKUP($A43,Balanse2022!$B$7:$H$200,7,FALSE),"")</f>
        <v>35638342.879999995</v>
      </c>
      <c r="F43" s="154">
        <f ca="1">IFERROR(VLOOKUP($A43,Balanse2023!$B$7:$H$200,7,FALSE),"")</f>
        <v>11009140.260000009</v>
      </c>
    </row>
    <row r="44" spans="1:6" hidden="1" outlineLevel="1">
      <c r="A44" s="112">
        <v>1322</v>
      </c>
      <c r="B44" s="113" t="s">
        <v>264</v>
      </c>
      <c r="C44" s="154">
        <f ca="1">IFERROR(VLOOKUP($A44,Balanse2021!$B$7:$H$200,5,FALSE),"")</f>
        <v>362386</v>
      </c>
      <c r="D44" s="154">
        <f ca="1">IFERROR(VLOOKUP($A44,Balanse2021!$B$7:$H$200,7,FALSE),"")</f>
        <v>372485</v>
      </c>
      <c r="E44" s="154">
        <f ca="1">IFERROR(VLOOKUP($A44,Balanse2022!$B$7:$H$200,7,FALSE),"")</f>
        <v>416979</v>
      </c>
      <c r="F44" s="154">
        <f ca="1">IFERROR(VLOOKUP($A44,Balanse2023!$B$7:$H$200,7,FALSE),"")</f>
        <v>286926</v>
      </c>
    </row>
    <row r="45" spans="1:6" hidden="1" outlineLevel="1">
      <c r="A45" s="112">
        <v>1900</v>
      </c>
      <c r="B45" s="113" t="s">
        <v>265</v>
      </c>
      <c r="C45" s="154">
        <f ca="1">IFERROR(VLOOKUP($A45,Balanse2021!$B$7:$H$200,5,FALSE),"")</f>
        <v>4215</v>
      </c>
      <c r="D45" s="154">
        <f ca="1">IFERROR(VLOOKUP($A45,Balanse2021!$B$7:$H$200,7,FALSE),"")</f>
        <v>4215</v>
      </c>
      <c r="E45" s="154">
        <f ca="1">IFERROR(VLOOKUP($A45,Balanse2022!$B$7:$H$200,7,FALSE),"")</f>
        <v>4215</v>
      </c>
      <c r="F45" s="154">
        <f ca="1">IFERROR(VLOOKUP($A45,Balanse2023!$B$7:$H$200,7,FALSE),"")</f>
        <v>3660</v>
      </c>
    </row>
    <row r="46" spans="1:6" hidden="1" outlineLevel="1">
      <c r="A46" s="112">
        <v>1902</v>
      </c>
      <c r="B46" s="113" t="s">
        <v>266</v>
      </c>
      <c r="C46" s="154">
        <f ca="1">IFERROR(VLOOKUP($A46,Balanse2021!$B$7:$H$200,5,FALSE),"")</f>
        <v>3018.57</v>
      </c>
      <c r="D46" s="154">
        <f ca="1">IFERROR(VLOOKUP($A46,Balanse2021!$B$7:$H$200,7,FALSE),"")</f>
        <v>0</v>
      </c>
      <c r="E46" s="154" t="str">
        <f ca="1">IFERROR(VLOOKUP($A46,Balanse2022!$B$7:$H$200,7,FALSE),"")</f>
        <v/>
      </c>
      <c r="F46" s="154" t="str">
        <f ca="1">IFERROR(VLOOKUP($A46,Balanse2023!$B$7:$H$200,7,FALSE),"")</f>
        <v/>
      </c>
    </row>
    <row r="47" spans="1:6" hidden="1" outlineLevel="1">
      <c r="A47" s="112">
        <v>1903</v>
      </c>
      <c r="B47" s="113" t="s">
        <v>267</v>
      </c>
      <c r="C47" s="154">
        <f ca="1">IFERROR(VLOOKUP($A47,Balanse2021!$B$7:$H$200,5,FALSE),"")</f>
        <v>2659.8</v>
      </c>
      <c r="D47" s="154">
        <f ca="1">IFERROR(VLOOKUP($A47,Balanse2021!$B$7:$H$200,7,FALSE),"")</f>
        <v>89.660000000000309</v>
      </c>
      <c r="E47" s="154">
        <f ca="1">IFERROR(VLOOKUP($A47,Balanse2022!$B$7:$H$200,7,FALSE),"")</f>
        <v>2934.44</v>
      </c>
      <c r="F47" s="154">
        <f ca="1">IFERROR(VLOOKUP($A47,Balanse2023!$B$7:$H$200,7,FALSE),"")</f>
        <v>280.92000000000007</v>
      </c>
    </row>
    <row r="48" spans="1:6" hidden="1" outlineLevel="1">
      <c r="A48" s="112">
        <v>1904</v>
      </c>
      <c r="B48" s="113" t="s">
        <v>268</v>
      </c>
      <c r="C48" s="154" t="str">
        <f ca="1">IFERROR(VLOOKUP($A48,Balanse2021!$B$7:$H$200,5,FALSE),"")</f>
        <v/>
      </c>
      <c r="D48" s="154" t="str">
        <f ca="1">IFERROR(VLOOKUP($A48,Balanse2021!$B$7:$H$200,7,FALSE),"")</f>
        <v/>
      </c>
      <c r="E48" s="154" t="str">
        <f ca="1">IFERROR(VLOOKUP($A48,Balanse2022!$B$7:$H$200,7,FALSE),"")</f>
        <v/>
      </c>
      <c r="F48" s="154">
        <f ca="1">IFERROR(VLOOKUP($A48,Balanse2023!$B$7:$H$200,7,FALSE),"")</f>
        <v>6676.05</v>
      </c>
    </row>
    <row r="49" spans="1:6" hidden="1" outlineLevel="1">
      <c r="A49" s="112">
        <v>1920</v>
      </c>
      <c r="B49" s="113" t="s">
        <v>269</v>
      </c>
      <c r="C49" s="154">
        <f ca="1">IFERROR(VLOOKUP($A49,Balanse2021!$B$7:$H$200,5,FALSE),"")</f>
        <v>6998631.25</v>
      </c>
      <c r="D49" s="154">
        <f ca="1">IFERROR(VLOOKUP($A49,Balanse2021!$B$7:$H$200,7,FALSE),"")</f>
        <v>4801187.41</v>
      </c>
      <c r="E49" s="154">
        <f ca="1">IFERROR(VLOOKUP($A49,Balanse2022!$B$7:$H$200,7,FALSE),"")</f>
        <v>4731873.8500000006</v>
      </c>
      <c r="F49" s="154">
        <f ca="1">IFERROR(VLOOKUP($A49,Balanse2023!$B$7:$H$200,7,FALSE),"")</f>
        <v>2135770.8999999994</v>
      </c>
    </row>
    <row r="50" spans="1:6" hidden="1" outlineLevel="1">
      <c r="A50" s="112">
        <v>1921</v>
      </c>
      <c r="B50" s="113" t="s">
        <v>270</v>
      </c>
      <c r="C50" s="154">
        <f ca="1">IFERROR(VLOOKUP($A50,Balanse2021!$B$7:$H$200,5,FALSE),"")</f>
        <v>8884032.4199999999</v>
      </c>
      <c r="D50" s="154">
        <f ca="1">IFERROR(VLOOKUP($A50,Balanse2021!$B$7:$H$200,7,FALSE),"")</f>
        <v>97614.390000000596</v>
      </c>
      <c r="E50" s="154">
        <f ca="1">IFERROR(VLOOKUP($A50,Balanse2022!$B$7:$H$200,7,FALSE),"")</f>
        <v>101847.37</v>
      </c>
      <c r="F50" s="154">
        <f ca="1">IFERROR(VLOOKUP($A50,Balanse2023!$B$7:$H$200,7,FALSE),"")</f>
        <v>105404.39</v>
      </c>
    </row>
    <row r="51" spans="1:6" hidden="1" outlineLevel="1">
      <c r="A51" s="112">
        <v>1922</v>
      </c>
      <c r="B51" s="113" t="s">
        <v>271</v>
      </c>
      <c r="C51" s="154">
        <f ca="1">IFERROR(VLOOKUP($A51,Balanse2021!$B$7:$H$200,5,FALSE),"")</f>
        <v>2162.91</v>
      </c>
      <c r="D51" s="154">
        <f ca="1">IFERROR(VLOOKUP($A51,Balanse2021!$B$7:$H$200,7,FALSE),"")</f>
        <v>6034.99</v>
      </c>
      <c r="E51" s="154">
        <f ca="1">IFERROR(VLOOKUP($A51,Balanse2022!$B$7:$H$200,7,FALSE),"")</f>
        <v>5478.82</v>
      </c>
      <c r="F51" s="154">
        <f ca="1">IFERROR(VLOOKUP($A51,Balanse2023!$B$7:$H$200,7,FALSE),"")</f>
        <v>5047.0199999999995</v>
      </c>
    </row>
    <row r="52" spans="1:6" hidden="1" outlineLevel="1">
      <c r="A52" s="112">
        <v>1923</v>
      </c>
      <c r="B52" s="113" t="s">
        <v>272</v>
      </c>
      <c r="C52" s="154">
        <f ca="1">IFERROR(VLOOKUP($A52,Balanse2021!$B$7:$H$200,5,FALSE),"")</f>
        <v>12102661.630000001</v>
      </c>
      <c r="D52" s="154">
        <f ca="1">IFERROR(VLOOKUP($A52,Balanse2021!$B$7:$H$200,7,FALSE),"")</f>
        <v>12107933.010000002</v>
      </c>
      <c r="E52" s="154">
        <f ca="1">IFERROR(VLOOKUP($A52,Balanse2022!$B$7:$H$200,7,FALSE),"")</f>
        <v>12266631.02</v>
      </c>
      <c r="F52" s="154">
        <f ca="1">IFERROR(VLOOKUP($A52,Balanse2023!$B$7:$H$200,7,FALSE),"")</f>
        <v>83951.459999999031</v>
      </c>
    </row>
    <row r="53" spans="1:6" hidden="1" outlineLevel="1">
      <c r="A53" s="112">
        <v>1925</v>
      </c>
      <c r="B53" s="113" t="s">
        <v>273</v>
      </c>
      <c r="C53" s="154">
        <f ca="1">IFERROR(VLOOKUP($A53,Balanse2021!$B$7:$H$200,5,FALSE),"")</f>
        <v>5105.4399999999996</v>
      </c>
      <c r="D53" s="154">
        <f ca="1">IFERROR(VLOOKUP($A53,Balanse2021!$B$7:$H$200,7,FALSE),"")</f>
        <v>65800.78</v>
      </c>
      <c r="E53" s="154">
        <f ca="1">IFERROR(VLOOKUP($A53,Balanse2022!$B$7:$H$200,7,FALSE),"")</f>
        <v>619796.66</v>
      </c>
      <c r="F53" s="154">
        <f ca="1">IFERROR(VLOOKUP($A53,Balanse2023!$B$7:$H$200,7,FALSE),"")</f>
        <v>2304447.0300000003</v>
      </c>
    </row>
    <row r="54" spans="1:6" hidden="1" outlineLevel="1">
      <c r="A54" s="112">
        <v>1926</v>
      </c>
      <c r="B54" s="113" t="s">
        <v>274</v>
      </c>
      <c r="C54" s="154">
        <f ca="1">IFERROR(VLOOKUP($A54,Balanse2021!$B$7:$H$200,5,FALSE),"")</f>
        <v>2826.18</v>
      </c>
      <c r="D54" s="154">
        <f ca="1">IFERROR(VLOOKUP($A54,Balanse2021!$B$7:$H$200,7,FALSE),"")</f>
        <v>3677.64</v>
      </c>
      <c r="E54" s="154">
        <f ca="1">IFERROR(VLOOKUP($A54,Balanse2022!$B$7:$H$200,7,FALSE),"")</f>
        <v>3725.85</v>
      </c>
      <c r="F54" s="154">
        <f ca="1">IFERROR(VLOOKUP($A54,Balanse2023!$B$7:$H$200,7,FALSE),"")</f>
        <v>109.73999999999978</v>
      </c>
    </row>
    <row r="55" spans="1:6" hidden="1" outlineLevel="1">
      <c r="A55" s="112">
        <v>1927</v>
      </c>
      <c r="B55" s="113" t="s">
        <v>275</v>
      </c>
      <c r="C55" s="154">
        <f ca="1">IFERROR(VLOOKUP($A55,Balanse2021!$B$7:$H$200,5,FALSE),"")</f>
        <v>363792.76</v>
      </c>
      <c r="D55" s="154">
        <f ca="1">IFERROR(VLOOKUP($A55,Balanse2021!$B$7:$H$200,7,FALSE),"")</f>
        <v>771774.74</v>
      </c>
      <c r="E55" s="154">
        <f ca="1">IFERROR(VLOOKUP($A55,Balanse2022!$B$7:$H$200,7,FALSE),"")</f>
        <v>950960.54</v>
      </c>
      <c r="F55" s="154">
        <f ca="1">IFERROR(VLOOKUP($A55,Balanse2023!$B$7:$H$200,7,FALSE),"")</f>
        <v>909580</v>
      </c>
    </row>
    <row r="56" spans="1:6" hidden="1" outlineLevel="1">
      <c r="A56" s="112">
        <v>1928</v>
      </c>
      <c r="B56" s="113" t="s">
        <v>276</v>
      </c>
      <c r="C56" s="154">
        <f ca="1">IFERROR(VLOOKUP($A56,Balanse2021!$B$7:$H$200,5,FALSE),"")</f>
        <v>197648.81</v>
      </c>
      <c r="D56" s="154">
        <f ca="1">IFERROR(VLOOKUP($A56,Balanse2021!$B$7:$H$200,7,FALSE),"")</f>
        <v>228295.66</v>
      </c>
      <c r="E56" s="154">
        <f ca="1">IFERROR(VLOOKUP($A56,Balanse2022!$B$7:$H$200,7,FALSE),"")</f>
        <v>250888.91</v>
      </c>
      <c r="F56" s="154">
        <f ca="1">IFERROR(VLOOKUP($A56,Balanse2023!$B$7:$H$200,7,FALSE),"")</f>
        <v>9283.8000000000175</v>
      </c>
    </row>
    <row r="57" spans="1:6" hidden="1" outlineLevel="1">
      <c r="A57" s="112">
        <v>1934</v>
      </c>
      <c r="B57" s="113" t="s">
        <v>277</v>
      </c>
      <c r="C57" s="154">
        <f ca="1">IFERROR(VLOOKUP($A57,Balanse2021!$B$7:$H$200,5,FALSE),"")</f>
        <v>465.36</v>
      </c>
      <c r="D57" s="154">
        <f ca="1">IFERROR(VLOOKUP($A57,Balanse2021!$B$7:$H$200,7,FALSE),"")</f>
        <v>465.56</v>
      </c>
      <c r="E57" s="154">
        <f ca="1">IFERROR(VLOOKUP($A57,Balanse2022!$B$7:$H$200,7,FALSE),"")</f>
        <v>471.67</v>
      </c>
      <c r="F57" s="154">
        <f ca="1">IFERROR(VLOOKUP($A57,Balanse2023!$B$7:$H$200,7,FALSE),"")</f>
        <v>488.14</v>
      </c>
    </row>
    <row r="58" spans="1:6" hidden="1" outlineLevel="1">
      <c r="A58" s="112">
        <v>1936</v>
      </c>
      <c r="B58" s="113" t="s">
        <v>278</v>
      </c>
      <c r="C58" s="154">
        <f ca="1">IFERROR(VLOOKUP($A58,Balanse2021!$B$7:$H$200,5,FALSE),"")</f>
        <v>3227070.61</v>
      </c>
      <c r="D58" s="154">
        <f ca="1">IFERROR(VLOOKUP($A58,Balanse2021!$B$7:$H$200,7,FALSE),"")</f>
        <v>4443451.72</v>
      </c>
      <c r="E58" s="154">
        <f ca="1">IFERROR(VLOOKUP($A58,Balanse2022!$B$7:$H$200,7,FALSE),"")</f>
        <v>4284068.2799999993</v>
      </c>
      <c r="F58" s="154">
        <f ca="1">IFERROR(VLOOKUP($A58,Balanse2023!$B$7:$H$200,7,FALSE),"")</f>
        <v>3637597.9800000004</v>
      </c>
    </row>
    <row r="59" spans="1:6" hidden="1" outlineLevel="1">
      <c r="A59" s="112">
        <v>1937</v>
      </c>
      <c r="B59" s="113" t="s">
        <v>279</v>
      </c>
      <c r="C59" s="154">
        <f ca="1">IFERROR(VLOOKUP($A59,Balanse2021!$B$7:$H$200,5,FALSE),"")</f>
        <v>11084573.49</v>
      </c>
      <c r="D59" s="154">
        <f ca="1">IFERROR(VLOOKUP($A59,Balanse2021!$B$7:$H$200,7,FALSE),"")</f>
        <v>11137462.300000001</v>
      </c>
      <c r="E59" s="154">
        <f ca="1">IFERROR(VLOOKUP($A59,Balanse2022!$B$7:$H$200,7,FALSE),"")</f>
        <v>11357823.180000002</v>
      </c>
      <c r="F59" s="154">
        <f ca="1">IFERROR(VLOOKUP($A59,Balanse2023!$B$7:$H$200,7,FALSE),"")</f>
        <v>99721.689999999478</v>
      </c>
    </row>
    <row r="60" spans="1:6" hidden="1" outlineLevel="1">
      <c r="A60" s="112">
        <v>1938</v>
      </c>
      <c r="B60" s="113" t="s">
        <v>280</v>
      </c>
      <c r="C60" s="154" t="str">
        <f ca="1">IFERROR(VLOOKUP($A60,Balanse2021!$B$7:$H$200,5,FALSE),"")</f>
        <v/>
      </c>
      <c r="D60" s="154" t="str">
        <f ca="1">IFERROR(VLOOKUP($A60,Balanse2021!$B$7:$H$200,7,FALSE),"")</f>
        <v/>
      </c>
      <c r="E60" s="154" t="str">
        <f ca="1">IFERROR(VLOOKUP($A60,Balanse2022!$B$7:$H$200,7,FALSE),"")</f>
        <v/>
      </c>
      <c r="F60" s="154">
        <f ca="1">IFERROR(VLOOKUP($A60,Balanse2023!$B$7:$H$200,7,FALSE),"")</f>
        <v>115871.85</v>
      </c>
    </row>
    <row r="61" spans="1:6" hidden="1" outlineLevel="1">
      <c r="A61" s="112">
        <v>1945</v>
      </c>
      <c r="B61" s="113" t="s">
        <v>281</v>
      </c>
      <c r="C61" s="154" t="str">
        <f ca="1">IFERROR(VLOOKUP($A61,Balanse2021!$B$7:$H$200,5,FALSE),"")</f>
        <v/>
      </c>
      <c r="D61" s="154" t="str">
        <f ca="1">IFERROR(VLOOKUP($A61,Balanse2021!$B$7:$H$200,7,FALSE),"")</f>
        <v/>
      </c>
      <c r="E61" s="154">
        <f ca="1">IFERROR(VLOOKUP($A61,Balanse2022!$B$7:$H$200,7,FALSE),"")</f>
        <v>0</v>
      </c>
      <c r="F61" s="154" t="str">
        <f ca="1">IFERROR(VLOOKUP($A61,Balanse2023!$B$7:$H$200,7,FALSE),"")</f>
        <v/>
      </c>
    </row>
    <row r="62" spans="1:6" hidden="1" outlineLevel="1">
      <c r="A62" s="112">
        <v>1946</v>
      </c>
      <c r="B62" s="113" t="s">
        <v>282</v>
      </c>
      <c r="C62" s="154">
        <f ca="1">IFERROR(VLOOKUP($A62,Balanse2021!$B$7:$H$200,5,FALSE),"")</f>
        <v>29961.27</v>
      </c>
      <c r="D62" s="154">
        <f ca="1">IFERROR(VLOOKUP($A62,Balanse2021!$B$7:$H$200,7,FALSE),"")</f>
        <v>27146.98</v>
      </c>
      <c r="E62" s="154">
        <f ca="1">IFERROR(VLOOKUP($A62,Balanse2022!$B$7:$H$200,7,FALSE),"")</f>
        <v>73919.75</v>
      </c>
      <c r="F62" s="154">
        <f ca="1">IFERROR(VLOOKUP($A62,Balanse2023!$B$7:$H$200,7,FALSE),"")</f>
        <v>5310.8000000000029</v>
      </c>
    </row>
    <row r="63" spans="1:6" hidden="1" outlineLevel="1">
      <c r="A63" s="112">
        <v>1947</v>
      </c>
      <c r="B63" s="113" t="s">
        <v>283</v>
      </c>
      <c r="C63" s="154">
        <f ca="1">IFERROR(VLOOKUP($A63,Balanse2021!$B$7:$H$200,5,FALSE),"")</f>
        <v>30701.58</v>
      </c>
      <c r="D63" s="154">
        <f ca="1">IFERROR(VLOOKUP($A63,Balanse2021!$B$7:$H$200,7,FALSE),"")</f>
        <v>30714.960000000003</v>
      </c>
      <c r="E63" s="154">
        <f ca="1">IFERROR(VLOOKUP($A63,Balanse2022!$B$7:$H$200,7,FALSE),"")</f>
        <v>31117.54</v>
      </c>
      <c r="F63" s="154">
        <f ca="1">IFERROR(VLOOKUP($A63,Balanse2023!$B$7:$H$200,7,FALSE),"")</f>
        <v>32204.32</v>
      </c>
    </row>
    <row r="64" spans="1:6" hidden="1" outlineLevel="1">
      <c r="A64" s="112">
        <v>1950</v>
      </c>
      <c r="B64" s="113" t="s">
        <v>284</v>
      </c>
      <c r="C64" s="154">
        <f ca="1">IFERROR(VLOOKUP($A64,Balanse2021!$B$7:$H$200,5,FALSE),"")</f>
        <v>526135.72</v>
      </c>
      <c r="D64" s="154">
        <f ca="1">IFERROR(VLOOKUP($A64,Balanse2021!$B$7:$H$200,7,FALSE),"")</f>
        <v>555305</v>
      </c>
      <c r="E64" s="154">
        <f ca="1">IFERROR(VLOOKUP($A64,Balanse2022!$B$7:$H$200,7,FALSE),"")</f>
        <v>535611</v>
      </c>
      <c r="F64" s="154">
        <f ca="1">IFERROR(VLOOKUP($A64,Balanse2023!$B$7:$H$200,7,FALSE),"")</f>
        <v>993745</v>
      </c>
    </row>
    <row r="65" spans="1:8" hidden="1" outlineLevel="1">
      <c r="A65" s="112">
        <v>1970</v>
      </c>
      <c r="B65" s="113" t="s">
        <v>285</v>
      </c>
      <c r="C65" s="154">
        <f ca="1">IFERROR(VLOOKUP($A65,Balanse2021!$B$7:$H$200,5,FALSE),"")</f>
        <v>1361.57</v>
      </c>
      <c r="D65" s="154">
        <f ca="1">IFERROR(VLOOKUP($A65,Balanse2021!$B$7:$H$200,7,FALSE),"")</f>
        <v>1361.57</v>
      </c>
      <c r="E65" s="154">
        <f ca="1">IFERROR(VLOOKUP($A65,Balanse2022!$B$7:$H$200,7,FALSE),"")</f>
        <v>0</v>
      </c>
      <c r="F65" s="154" t="str">
        <f ca="1">IFERROR(VLOOKUP($A65,Balanse2023!$B$7:$H$200,7,FALSE),"")</f>
        <v/>
      </c>
    </row>
    <row r="66" spans="1:8" hidden="1" outlineLevel="1">
      <c r="A66" s="112">
        <v>1997</v>
      </c>
      <c r="B66" s="113" t="s">
        <v>286</v>
      </c>
      <c r="C66" s="154" t="str">
        <f ca="1">IFERROR(VLOOKUP($A66,Balanse2021!$B$7:$H$200,5,FALSE),"")</f>
        <v/>
      </c>
      <c r="D66" s="154" t="str">
        <f ca="1">IFERROR(VLOOKUP($A66,Balanse2021!$B$7:$H$200,7,FALSE),"")</f>
        <v/>
      </c>
      <c r="E66" s="154" t="str">
        <f ca="1">IFERROR(VLOOKUP($A66,Balanse2022!$B$7:$H$200,7,FALSE),"")</f>
        <v/>
      </c>
      <c r="F66" s="154">
        <f ca="1">IFERROR(VLOOKUP($A66,Balanse2023!$B$7:$H$200,7,FALSE),"")</f>
        <v>0</v>
      </c>
    </row>
    <row r="67" spans="1:8" hidden="1" outlineLevel="1">
      <c r="A67" s="112">
        <v>1998</v>
      </c>
      <c r="B67" s="113" t="s">
        <v>252</v>
      </c>
      <c r="C67" s="154" t="str">
        <f ca="1">IFERROR(VLOOKUP($A67,Balanse2021!$B$7:$H$200,5,FALSE),"")</f>
        <v/>
      </c>
      <c r="D67" s="154" t="str">
        <f ca="1">IFERROR(VLOOKUP($A67,Balanse2021!$B$7:$H$200,7,FALSE),"")</f>
        <v/>
      </c>
      <c r="E67" s="154" t="str">
        <f ca="1">IFERROR(VLOOKUP($A67,Balanse2022!$B$7:$H$200,7,FALSE),"")</f>
        <v/>
      </c>
      <c r="F67" s="154">
        <f ca="1">IFERROR(VLOOKUP($A67,Balanse2023!$B$7:$H$200,7,FALSE),"")</f>
        <v>76975.460000000006</v>
      </c>
    </row>
    <row r="68" spans="1:8" collapsed="1">
      <c r="A68" s="48" t="str">
        <f>"Sum " &amp; LOWER("Omløpsmidler")</f>
        <v>Sum omløpsmidler</v>
      </c>
      <c r="B68" s="49"/>
      <c r="C68" s="156">
        <f ca="1">IFERROR(VLOOKUP($A68,Balanse2021!$B$7:$H$200,5,FALSE),"")</f>
        <v>84269534.590000004</v>
      </c>
      <c r="D68" s="156">
        <f ca="1">IFERROR(VLOOKUP($A68,Balanse2021!$B$7:$H$200,7,FALSE),"")</f>
        <v>74204953.420000002</v>
      </c>
      <c r="E68" s="156">
        <f ca="1">IFERROR(VLOOKUP($A68,Balanse2022!$B$7:$H$200,7,FALSE),"")</f>
        <v>74508005.879999995</v>
      </c>
      <c r="F68" s="156">
        <f ca="1">IFERROR(VLOOKUP($A68,Balanse2023!$B$7:$H$200,7,FALSE),"")</f>
        <v>77346185.469999999</v>
      </c>
    </row>
    <row r="69" spans="1:8">
      <c r="A69" s="23"/>
      <c r="B69" s="1"/>
      <c r="C69" s="154" t="str">
        <f ca="1">IFERROR(VLOOKUP($A69,Balanse2021!$B$7:$H$200,5,FALSE),"")</f>
        <v/>
      </c>
      <c r="D69" s="154" t="str">
        <f ca="1">IFERROR(VLOOKUP($A69,Balanse2021!$B$7:$H$200,7,FALSE),"")</f>
        <v/>
      </c>
      <c r="E69" s="154" t="str">
        <f ca="1">IFERROR(VLOOKUP($A69,Balanse2022!$B$7:$H$200,7,FALSE),"")</f>
        <v/>
      </c>
      <c r="F69" s="154" t="str">
        <f ca="1">IFERROR(VLOOKUP($A69,Balanse2023!$B$7:$H$200,7,FALSE),"")</f>
        <v/>
      </c>
    </row>
    <row r="70" spans="1:8" ht="15.6">
      <c r="A70" s="117" t="s">
        <v>39</v>
      </c>
      <c r="B70" s="118"/>
      <c r="C70" s="157">
        <f ca="1">IFERROR(VLOOKUP($A70,Balanse2021!$B$7:$H$200,5,FALSE),"")</f>
        <v>90247670.010000005</v>
      </c>
      <c r="D70" s="157">
        <f ca="1">IFERROR(VLOOKUP($A70,Balanse2021!$B$7:$H$200,7,FALSE),"")</f>
        <v>80132044.010000005</v>
      </c>
      <c r="E70" s="157">
        <f ca="1">IFERROR(VLOOKUP($A70,Balanse2022!$B$7:$H$200,7,FALSE),"")</f>
        <v>80318459.25</v>
      </c>
      <c r="F70" s="157">
        <f ca="1">IFERROR(VLOOKUP($A70,Balanse2023!$B$7:$H$200,7,FALSE),"")</f>
        <v>83750128.909999996</v>
      </c>
    </row>
    <row r="71" spans="1:8">
      <c r="A71" s="27"/>
      <c r="C71" s="154" t="str">
        <f ca="1">IFERROR(VLOOKUP($A71,Balanse2021!$B$7:$H$200,5,FALSE),"")</f>
        <v/>
      </c>
      <c r="D71" s="154" t="str">
        <f ca="1">IFERROR(VLOOKUP($A71,Balanse2021!$B$7:$H$200,7,FALSE),"")</f>
        <v/>
      </c>
      <c r="E71" s="154" t="str">
        <f ca="1">IFERROR(VLOOKUP($A71,Balanse2022!$B$7:$H$200,7,FALSE),"")</f>
        <v/>
      </c>
      <c r="F71" s="154" t="str">
        <f ca="1">IFERROR(VLOOKUP($A71,Balanse2023!$B$7:$H$200,7,FALSE),"")</f>
        <v/>
      </c>
    </row>
    <row r="72" spans="1:8">
      <c r="A72" s="23" t="s">
        <v>287</v>
      </c>
      <c r="C72" s="154">
        <f ca="1">IFERROR(VLOOKUP($A72,Balanse2021!$B$7:$H$200,5,FALSE),"")</f>
        <v>0</v>
      </c>
      <c r="D72" s="154">
        <f ca="1">IFERROR(VLOOKUP($A72,Balanse2021!$B$7:$H$200,7,FALSE),"")</f>
        <v>0</v>
      </c>
      <c r="E72" s="154">
        <f ca="1">IFERROR(VLOOKUP($A72,Balanse2022!$B$7:$H$200,7,FALSE),"")</f>
        <v>0</v>
      </c>
      <c r="F72" s="154">
        <f ca="1">IFERROR(VLOOKUP($A72,Balanse2023!$B$7:$H$200,7,FALSE),"")</f>
        <v>0</v>
      </c>
    </row>
    <row r="73" spans="1:8">
      <c r="A73" s="57" t="s">
        <v>47</v>
      </c>
      <c r="C73" s="154">
        <f ca="1">IFERROR(VLOOKUP($A73,Balanse2021!$B$7:$H$200,5,FALSE),"")</f>
        <v>0</v>
      </c>
      <c r="D73" s="154">
        <f ca="1">IFERROR(VLOOKUP($A73,Balanse2021!$B$7:$H$200,7,FALSE),"")</f>
        <v>0</v>
      </c>
      <c r="E73" s="154">
        <f ca="1">IFERROR(VLOOKUP($A73,Balanse2022!$B$7:$H$200,7,FALSE),"")</f>
        <v>0</v>
      </c>
      <c r="F73" s="154">
        <f ca="1">IFERROR(VLOOKUP($A73,Balanse2023!$B$7:$H$200,7,FALSE),"")</f>
        <v>0</v>
      </c>
    </row>
    <row r="74" spans="1:8">
      <c r="A74" s="110" t="str">
        <f>"    "&amp;"Egenkapital"</f>
        <v xml:space="preserve">    Egenkapital</v>
      </c>
      <c r="C74" s="154">
        <f ca="1">IFERROR(VLOOKUP($A74,Balanse2021!$B$7:$H$200,5,FALSE),"")</f>
        <v>72294048.900000006</v>
      </c>
      <c r="D74" s="154">
        <f ca="1">IFERROR(VLOOKUP($A74,Balanse2021!$B$7:$H$200,7,FALSE),"")</f>
        <v>75635827.49000001</v>
      </c>
      <c r="E74" s="154">
        <f ca="1">IFERROR(VLOOKUP($A74,Balanse2022!$B$7:$H$200,7,FALSE),"")</f>
        <v>75308517.739999995</v>
      </c>
      <c r="F74" s="154">
        <f ca="1">IFERROR(VLOOKUP($A74,Balanse2023!$B$7:$H$200,7,FALSE),"")</f>
        <v>75969678.469999999</v>
      </c>
      <c r="H74" s="159"/>
    </row>
    <row r="75" spans="1:8" hidden="1" outlineLevel="1">
      <c r="A75" s="112">
        <v>2000</v>
      </c>
      <c r="B75" s="113" t="s">
        <v>47</v>
      </c>
      <c r="C75" s="154">
        <f ca="1">IFERROR(VLOOKUP($A75,Balanse2021!$B$7:$H$200,5,FALSE),"")</f>
        <v>25836158.969999999</v>
      </c>
      <c r="D75" s="154">
        <f ca="1">IFERROR(VLOOKUP($A75,Balanse2021!$B$7:$H$200,7,FALSE),"")</f>
        <v>27510379.599999998</v>
      </c>
      <c r="E75" s="154">
        <f ca="1">IFERROR(VLOOKUP($A75,Balanse2022!$B$7:$H$200,7,FALSE),"")</f>
        <v>28752731.57</v>
      </c>
      <c r="F75" s="154">
        <f ca="1">IFERROR(VLOOKUP($A75,Balanse2023!$B$7:$H$200,7,FALSE),"")</f>
        <v>28880986.16</v>
      </c>
    </row>
    <row r="76" spans="1:8" hidden="1" outlineLevel="1">
      <c r="A76" s="112">
        <v>2055</v>
      </c>
      <c r="B76" s="113" t="s">
        <v>288</v>
      </c>
      <c r="C76" s="154"/>
      <c r="D76" s="154"/>
      <c r="E76" s="154"/>
      <c r="F76" s="154">
        <f ca="1">IFERROR(VLOOKUP($A76,Balanse2023!$B$7:$H$200,7,FALSE),"")</f>
        <v>150000</v>
      </c>
    </row>
    <row r="77" spans="1:8" hidden="1" outlineLevel="1">
      <c r="A77" s="112">
        <v>2056</v>
      </c>
      <c r="B77" s="113" t="s">
        <v>289</v>
      </c>
      <c r="C77" s="154"/>
      <c r="D77" s="154"/>
      <c r="E77" s="154"/>
      <c r="F77" s="154">
        <f ca="1">IFERROR(VLOOKUP($A77,Balanse2023!$B$7:$H$200,7,FALSE),"")</f>
        <v>55006.27</v>
      </c>
    </row>
    <row r="78" spans="1:8" hidden="1" outlineLevel="1">
      <c r="A78" s="112">
        <v>2058</v>
      </c>
      <c r="B78" s="113" t="s">
        <v>290</v>
      </c>
      <c r="C78" s="154" t="str">
        <f ca="1">IFERROR(VLOOKUP($A78,Balanse2021!$B$7:$H$200,5,FALSE),"")</f>
        <v/>
      </c>
      <c r="D78" s="154" t="str">
        <f ca="1">IFERROR(VLOOKUP($A78,Balanse2021!$B$7:$H$200,7,FALSE),"")</f>
        <v/>
      </c>
      <c r="E78" s="154" t="str">
        <f ca="1">IFERROR(VLOOKUP($A78,Balanse2022!$B$7:$H$200,7,FALSE),"")</f>
        <v/>
      </c>
      <c r="F78" s="154">
        <f ca="1">IFERROR(VLOOKUP($A78,Balanse2023!$B$7:$H$200,7,FALSE),"")</f>
        <v>3994203.96</v>
      </c>
    </row>
    <row r="79" spans="1:8" hidden="1" outlineLevel="1">
      <c r="A79" s="112">
        <v>2066</v>
      </c>
      <c r="B79" s="113" t="s">
        <v>48</v>
      </c>
      <c r="C79" s="154">
        <f ca="1">IFERROR(VLOOKUP($A79,Balanse2021!$B$7:$H$200,5,FALSE),"")</f>
        <v>15907665</v>
      </c>
      <c r="D79" s="154">
        <f ca="1">IFERROR(VLOOKUP($A79,Balanse2021!$B$7:$H$200,7,FALSE),"")</f>
        <v>15907665</v>
      </c>
      <c r="E79" s="154">
        <f ca="1">IFERROR(VLOOKUP($A79,Balanse2022!$B$7:$H$200,7,FALSE),"")</f>
        <v>15661757.359999999</v>
      </c>
      <c r="F79" s="154">
        <f ca="1">IFERROR(VLOOKUP($A79,Balanse2023!$B$7:$H$200,7,FALSE),"")</f>
        <v>16235972.199999999</v>
      </c>
      <c r="H79" s="159"/>
    </row>
    <row r="80" spans="1:8" hidden="1" outlineLevel="1">
      <c r="A80" s="112">
        <v>2070</v>
      </c>
      <c r="B80" s="113" t="s">
        <v>49</v>
      </c>
      <c r="C80" s="154">
        <f ca="1">IFERROR(VLOOKUP($A80,Balanse2021!$B$7:$H$200,5,FALSE),"")</f>
        <v>25733648.559999999</v>
      </c>
      <c r="D80" s="154">
        <f ca="1">IFERROR(VLOOKUP($A80,Balanse2021!$B$7:$H$200,7,FALSE),"")</f>
        <v>26473763.48</v>
      </c>
      <c r="E80" s="154">
        <f ca="1">IFERROR(VLOOKUP($A80,Balanse2022!$B$7:$H$200,7,FALSE),"")</f>
        <v>25447759.059999999</v>
      </c>
      <c r="F80" s="154">
        <f ca="1">IFERROR(VLOOKUP($A80,Balanse2023!$B$7:$H$200,7,FALSE),"")</f>
        <v>23289402.59</v>
      </c>
    </row>
    <row r="81" spans="1:8" hidden="1" outlineLevel="1">
      <c r="A81" s="112">
        <v>2071</v>
      </c>
      <c r="B81" s="113" t="s">
        <v>32</v>
      </c>
      <c r="C81" s="154">
        <f ca="1">IFERROR(VLOOKUP($A81,Balanse2021!$B$7:$H$200,5,FALSE),"")</f>
        <v>2300000</v>
      </c>
      <c r="D81" s="154">
        <f ca="1">IFERROR(VLOOKUP($A81,Balanse2021!$B$7:$H$200,7,FALSE),"")</f>
        <v>2300000</v>
      </c>
      <c r="E81" s="154">
        <f ca="1">IFERROR(VLOOKUP($A81,Balanse2022!$B$7:$H$200,7,FALSE),"")</f>
        <v>2264445.59</v>
      </c>
      <c r="F81" s="154">
        <f ca="1">IFERROR(VLOOKUP($A81,Balanse2023!$B$7:$H$200,7,FALSE),"")</f>
        <v>2347468.09</v>
      </c>
      <c r="G81" s="159"/>
    </row>
    <row r="82" spans="1:8" hidden="1" outlineLevel="1">
      <c r="A82" s="112">
        <v>2072</v>
      </c>
      <c r="B82" s="113" t="s">
        <v>33</v>
      </c>
      <c r="C82" s="154">
        <f ca="1">IFERROR(VLOOKUP($A82,Balanse2021!$B$7:$H$200,5,FALSE),"")</f>
        <v>2289711.7599999998</v>
      </c>
      <c r="D82" s="154">
        <f ca="1">IFERROR(VLOOKUP($A82,Balanse2021!$B$7:$H$200,7,FALSE),"")</f>
        <v>2997322.42</v>
      </c>
      <c r="E82" s="154">
        <f ca="1">IFERROR(VLOOKUP($A82,Balanse2022!$B$7:$H$200,7,FALSE),"")</f>
        <v>3070004.17</v>
      </c>
      <c r="F82" s="154">
        <f ca="1">IFERROR(VLOOKUP($A82,Balanse2023!$B$7:$H$200,7,FALSE),"")</f>
        <v>1214080.0899999999</v>
      </c>
    </row>
    <row r="83" spans="1:8" hidden="1" outlineLevel="1">
      <c r="A83" s="112">
        <v>2073</v>
      </c>
      <c r="B83" s="113" t="s">
        <v>50</v>
      </c>
      <c r="C83" s="154">
        <f ca="1">IFERROR(VLOOKUP($A83,Balanse2021!$B$7:$H$200,5,FALSE),"")</f>
        <v>226864.61</v>
      </c>
      <c r="D83" s="154">
        <f ca="1">IFERROR(VLOOKUP($A83,Balanse2021!$B$7:$H$200,7,FALSE),"")</f>
        <v>446696.99</v>
      </c>
      <c r="E83" s="154">
        <f ca="1">IFERROR(VLOOKUP($A83,Balanse2022!$B$7:$H$200,7,FALSE),"")</f>
        <v>111819.98999999999</v>
      </c>
      <c r="F83" s="154">
        <f ca="1">IFERROR(VLOOKUP($A83,Balanse2023!$B$7:$H$200,7,FALSE),"")</f>
        <v>-197440.89</v>
      </c>
    </row>
    <row r="84" spans="1:8" collapsed="1">
      <c r="A84" s="122" t="s">
        <v>291</v>
      </c>
      <c r="B84" s="113"/>
      <c r="C84" s="154">
        <f ca="1">IFERROR(VLOOKUP($A84,Balanse2021!$B$7:$H$200,5,FALSE),"")</f>
        <v>0</v>
      </c>
      <c r="D84" s="154">
        <f ca="1">IFERROR(VLOOKUP($A84,Balanse2021!$B$7:$H$200,7,FALSE),"")</f>
        <v>0.01</v>
      </c>
      <c r="E84" s="154">
        <f ca="1">IFERROR(VLOOKUP($A84,Balanse2022!$B$7:$H$200,7,FALSE),"")</f>
        <v>0</v>
      </c>
      <c r="F84" s="154">
        <f ca="1">IFERROR(VLOOKUP($A84,Balanse2023!$B$7:$H$200,7,FALSE),"")</f>
        <v>0</v>
      </c>
    </row>
    <row r="85" spans="1:8">
      <c r="A85" s="48" t="str">
        <f>"Sum " &amp; LOWER("Egenkapital")</f>
        <v>Sum egenkapital</v>
      </c>
      <c r="B85" s="49"/>
      <c r="C85" s="156">
        <f ca="1">IFERROR(VLOOKUP($A85,Balanse2021!$B$7:$H$200,5,FALSE),"")</f>
        <v>72294048.900000006</v>
      </c>
      <c r="D85" s="156">
        <f ca="1">IFERROR(VLOOKUP($A85,Balanse2021!$B$7:$H$200,7,FALSE),"")</f>
        <v>75635827.500000015</v>
      </c>
      <c r="E85" s="156">
        <f ca="1">IFERROR(VLOOKUP($A85,Balanse2022!$B$7:$H$200,7,FALSE),"")</f>
        <v>75308517.739999995</v>
      </c>
      <c r="F85" s="156">
        <f ca="1">IFERROR(VLOOKUP($A85,Balanse2023!$B$7:$H$200,7,FALSE),"")</f>
        <v>75969678.469999999</v>
      </c>
      <c r="H85" s="159"/>
    </row>
    <row r="86" spans="1:8">
      <c r="A86" s="23"/>
      <c r="B86" s="1"/>
      <c r="C86" s="154" t="str">
        <f ca="1">IFERROR(VLOOKUP($A86,Balanse2021!$B$7:$H$200,5,FALSE),"")</f>
        <v/>
      </c>
      <c r="D86" s="154" t="str">
        <f ca="1">IFERROR(VLOOKUP($A86,Balanse2021!$B$7:$H$200,7,FALSE),"")</f>
        <v/>
      </c>
      <c r="E86" s="154" t="str">
        <f ca="1">IFERROR(VLOOKUP($A86,Balanse2022!$B$7:$H$200,7,FALSE),"")</f>
        <v/>
      </c>
      <c r="F86" s="154" t="str">
        <f ca="1">IFERROR(VLOOKUP($A86,Balanse2023!$B$7:$H$200,7,FALSE),"")</f>
        <v/>
      </c>
    </row>
    <row r="87" spans="1:8">
      <c r="A87" s="57" t="s">
        <v>292</v>
      </c>
      <c r="C87" s="154">
        <f ca="1">IFERROR(VLOOKUP($A87,Balanse2021!$B$7:$H$200,5,FALSE),"")</f>
        <v>0</v>
      </c>
      <c r="D87" s="154">
        <f ca="1">IFERROR(VLOOKUP($A87,Balanse2021!$B$7:$H$200,7,FALSE),"")</f>
        <v>0</v>
      </c>
      <c r="E87" s="154">
        <f ca="1">IFERROR(VLOOKUP($A87,Balanse2022!$B$7:$H$200,7,FALSE),"")</f>
        <v>0</v>
      </c>
      <c r="F87" s="154">
        <f ca="1">IFERROR(VLOOKUP($A87,Balanse2023!$B$7:$H$200,7,FALSE),"")</f>
        <v>0</v>
      </c>
    </row>
    <row r="88" spans="1:8">
      <c r="A88" s="110" t="str">
        <f>"    "&amp;"Avsetning for forpliktelser"</f>
        <v xml:space="preserve">    Avsetning for forpliktelser</v>
      </c>
      <c r="C88" s="154">
        <f ca="1">IFERROR(VLOOKUP($A88,Balanse2021!$B$7:$H$200,5,FALSE),"")</f>
        <v>1321341.51</v>
      </c>
      <c r="D88" s="154">
        <f ca="1">IFERROR(VLOOKUP($A88,Balanse2021!$B$7:$H$200,7,FALSE),"")</f>
        <v>32717.659999999916</v>
      </c>
      <c r="E88" s="154">
        <f ca="1">IFERROR(VLOOKUP($A88,Balanse2022!$B$7:$H$200,7,FALSE),"")</f>
        <v>-148963.14000000001</v>
      </c>
      <c r="F88" s="154">
        <f ca="1">IFERROR(VLOOKUP($A88,Balanse2023!$B$7:$H$200,7,FALSE),"")</f>
        <v>-302868.47999999998</v>
      </c>
    </row>
    <row r="89" spans="1:8" hidden="1" outlineLevel="1">
      <c r="A89" s="112">
        <v>2100</v>
      </c>
      <c r="B89" s="113" t="s">
        <v>293</v>
      </c>
      <c r="C89" s="154">
        <f ca="1">IFERROR(VLOOKUP($A89,Balanse2021!$B$7:$H$200,5,FALSE),"")</f>
        <v>1031608</v>
      </c>
      <c r="D89" s="154">
        <f ca="1">IFERROR(VLOOKUP($A89,Balanse2021!$B$7:$H$200,7,FALSE),"")</f>
        <v>1049746</v>
      </c>
      <c r="E89" s="154">
        <f ca="1">IFERROR(VLOOKUP($A89,Balanse2022!$B$7:$H$200,7,FALSE),"")</f>
        <v>818168</v>
      </c>
      <c r="F89" s="154">
        <f ca="1">IFERROR(VLOOKUP($A89,Balanse2023!$B$7:$H$200,7,FALSE),"")</f>
        <v>1015006</v>
      </c>
    </row>
    <row r="90" spans="1:8" hidden="1" outlineLevel="1">
      <c r="A90" s="112">
        <v>2101</v>
      </c>
      <c r="B90" s="113" t="s">
        <v>294</v>
      </c>
      <c r="C90" s="154">
        <f ca="1">IFERROR(VLOOKUP($A90,Balanse2021!$B$7:$H$200,5,FALSE),"")</f>
        <v>314810.33</v>
      </c>
      <c r="D90" s="154">
        <f ca="1">IFERROR(VLOOKUP($A90,Balanse2021!$B$7:$H$200,7,FALSE),"")</f>
        <v>-908003.76</v>
      </c>
      <c r="E90" s="154">
        <f ca="1">IFERROR(VLOOKUP($A90,Balanse2022!$B$7:$H$200,7,FALSE),"")</f>
        <v>-1115064.53</v>
      </c>
      <c r="F90" s="154">
        <f ca="1">IFERROR(VLOOKUP($A90,Balanse2023!$B$7:$H$200,7,FALSE),"")</f>
        <v>-1345505.86</v>
      </c>
    </row>
    <row r="91" spans="1:8" hidden="1" outlineLevel="1">
      <c r="A91" s="112">
        <v>2102</v>
      </c>
      <c r="B91" s="113" t="s">
        <v>295</v>
      </c>
      <c r="C91" s="154">
        <f ca="1">IFERROR(VLOOKUP($A91,Balanse2021!$B$7:$H$200,5,FALSE),"")</f>
        <v>-25076.82</v>
      </c>
      <c r="D91" s="154">
        <f ca="1">IFERROR(VLOOKUP($A91,Balanse2021!$B$7:$H$200,7,FALSE),"")</f>
        <v>-109024.57999999999</v>
      </c>
      <c r="E91" s="154">
        <f ca="1">IFERROR(VLOOKUP($A91,Balanse2022!$B$7:$H$200,7,FALSE),"")</f>
        <v>147933.39000000001</v>
      </c>
      <c r="F91" s="154">
        <f ca="1">IFERROR(VLOOKUP($A91,Balanse2023!$B$7:$H$200,7,FALSE),"")</f>
        <v>27631.380000000019</v>
      </c>
    </row>
    <row r="92" spans="1:8" collapsed="1">
      <c r="A92" s="48" t="str">
        <f>"Sum " &amp; LOWER("Avsetning for forpliktelser")</f>
        <v>Sum avsetning for forpliktelser</v>
      </c>
      <c r="B92" s="49"/>
      <c r="C92" s="156">
        <f ca="1">IFERROR(VLOOKUP($A92,Balanse2021!$B$7:$H$200,5,FALSE),"")</f>
        <v>1321341.51</v>
      </c>
      <c r="D92" s="156">
        <f ca="1">IFERROR(VLOOKUP($A92,Balanse2021!$B$7:$H$200,7,FALSE),"")</f>
        <v>32717.659999999916</v>
      </c>
      <c r="E92" s="156">
        <f ca="1">IFERROR(VLOOKUP($A92,Balanse2022!$B$7:$H$200,7,FALSE),"")</f>
        <v>-148963.14000000001</v>
      </c>
      <c r="F92" s="156">
        <f ca="1">IFERROR(VLOOKUP($A92,Balanse2023!$B$7:$H$200,7,FALSE),"")</f>
        <v>-302868.47999999998</v>
      </c>
    </row>
    <row r="93" spans="1:8">
      <c r="A93" s="23"/>
      <c r="B93" s="1"/>
      <c r="C93" s="154" t="str">
        <f ca="1">IFERROR(VLOOKUP($A93,Balanse2021!$B$7:$H$200,5,FALSE),"")</f>
        <v/>
      </c>
      <c r="D93" s="154" t="str">
        <f ca="1">IFERROR(VLOOKUP($A93,Balanse2021!$B$7:$H$200,7,FALSE),"")</f>
        <v/>
      </c>
      <c r="E93" s="154" t="str">
        <f ca="1">IFERROR(VLOOKUP($A93,Balanse2022!$B$7:$H$200,7,FALSE),"")</f>
        <v/>
      </c>
      <c r="F93" s="154" t="str">
        <f ca="1">IFERROR(VLOOKUP($A93,Balanse2023!$B$7:$H$200,7,FALSE),"")</f>
        <v/>
      </c>
    </row>
    <row r="94" spans="1:8">
      <c r="A94" s="57" t="s">
        <v>296</v>
      </c>
      <c r="C94" s="154">
        <f ca="1">IFERROR(VLOOKUP($A94,Balanse2021!$B$7:$H$200,5,FALSE),"")</f>
        <v>0</v>
      </c>
      <c r="D94" s="154">
        <f ca="1">IFERROR(VLOOKUP($A94,Balanse2021!$B$7:$H$200,7,FALSE),"")</f>
        <v>0</v>
      </c>
      <c r="E94" s="154">
        <f ca="1">IFERROR(VLOOKUP($A94,Balanse2022!$B$7:$H$200,7,FALSE),"")</f>
        <v>0</v>
      </c>
      <c r="F94" s="154">
        <f ca="1">IFERROR(VLOOKUP($A94,Balanse2023!$B$7:$H$200,7,FALSE),"")</f>
        <v>0</v>
      </c>
    </row>
    <row r="95" spans="1:8">
      <c r="A95" s="110" t="str">
        <f>"    "&amp;"Leverandørgjeld"</f>
        <v xml:space="preserve">    Leverandørgjeld</v>
      </c>
      <c r="C95" s="154">
        <f ca="1">IFERROR(VLOOKUP($A95,Balanse2021!$B$7:$H$200,5,FALSE),"")</f>
        <v>1016139.41</v>
      </c>
      <c r="D95" s="154">
        <f ca="1">IFERROR(VLOOKUP($A95,Balanse2021!$B$7:$H$200,7,FALSE),"")</f>
        <v>994199.41</v>
      </c>
      <c r="E95" s="154">
        <f ca="1">IFERROR(VLOOKUP($A95,Balanse2022!$B$7:$H$200,7,FALSE),"")</f>
        <v>1116855.1100000001</v>
      </c>
      <c r="F95" s="154">
        <f ca="1">IFERROR(VLOOKUP($A95,Balanse2023!$B$7:$H$200,7,FALSE),"")</f>
        <v>3249872.3500000006</v>
      </c>
    </row>
    <row r="96" spans="1:8" hidden="1" outlineLevel="1">
      <c r="A96" s="112">
        <v>2400</v>
      </c>
      <c r="B96" s="113" t="s">
        <v>297</v>
      </c>
      <c r="C96" s="154">
        <f ca="1">IFERROR(VLOOKUP($A96,Balanse2021!$B$7:$H$200,5,FALSE),"")</f>
        <v>1015601.41</v>
      </c>
      <c r="D96" s="154">
        <f ca="1">IFERROR(VLOOKUP($A96,Balanse2021!$B$7:$H$200,7,FALSE),"")</f>
        <v>997407.41</v>
      </c>
      <c r="E96" s="154">
        <f ca="1">IFERROR(VLOOKUP($A96,Balanse2022!$B$7:$H$200,7,FALSE),"")</f>
        <v>1116855.1100000001</v>
      </c>
      <c r="F96" s="154">
        <f ca="1">IFERROR(VLOOKUP($A96,Balanse2023!$B$7:$H$200,7,FALSE),"")</f>
        <v>3249872.3500000006</v>
      </c>
    </row>
    <row r="97" spans="1:6" hidden="1" outlineLevel="1">
      <c r="A97" s="112">
        <v>2405</v>
      </c>
      <c r="B97" s="113" t="s">
        <v>298</v>
      </c>
      <c r="C97" s="154">
        <f ca="1">IFERROR(VLOOKUP($A97,Balanse2021!$B$7:$H$200,5,FALSE),"")</f>
        <v>538</v>
      </c>
      <c r="D97" s="154">
        <f ca="1">IFERROR(VLOOKUP($A97,Balanse2021!$B$7:$H$200,7,FALSE),"")</f>
        <v>-3208</v>
      </c>
      <c r="E97" s="154">
        <f ca="1">IFERROR(VLOOKUP($A97,Balanse2022!$B$7:$H$200,7,FALSE),"")</f>
        <v>0</v>
      </c>
      <c r="F97" s="154">
        <f ca="1">IFERROR(VLOOKUP($A97,Balanse2023!$B$7:$H$200,7,FALSE),"")</f>
        <v>0</v>
      </c>
    </row>
    <row r="98" spans="1:6" collapsed="1">
      <c r="A98" s="110" t="str">
        <f>"    "&amp;"Skattetrekk og andre trekk"</f>
        <v xml:space="preserve">    Skattetrekk og andre trekk</v>
      </c>
      <c r="C98" s="154">
        <f ca="1">IFERROR(VLOOKUP($A98,Balanse2021!$B$7:$H$200,5,FALSE),"")</f>
        <v>463716</v>
      </c>
      <c r="D98" s="154">
        <f ca="1">IFERROR(VLOOKUP($A98,Balanse2021!$B$7:$H$200,7,FALSE),"")</f>
        <v>555305</v>
      </c>
      <c r="E98" s="154">
        <f ca="1">IFERROR(VLOOKUP($A98,Balanse2022!$B$7:$H$200,7,FALSE),"")</f>
        <v>507467</v>
      </c>
      <c r="F98" s="154">
        <f ca="1">IFERROR(VLOOKUP($A98,Balanse2023!$B$7:$H$200,7,FALSE),"")</f>
        <v>475524</v>
      </c>
    </row>
    <row r="99" spans="1:6" hidden="1" outlineLevel="1">
      <c r="A99" s="112">
        <v>2600</v>
      </c>
      <c r="B99" s="113" t="s">
        <v>299</v>
      </c>
      <c r="C99" s="154">
        <f ca="1">IFERROR(VLOOKUP($A99,Balanse2021!$B$7:$H$200,5,FALSE),"")</f>
        <v>463716</v>
      </c>
      <c r="D99" s="154">
        <f ca="1">IFERROR(VLOOKUP($A99,Balanse2021!$B$7:$H$200,7,FALSE),"")</f>
        <v>555305</v>
      </c>
      <c r="E99" s="154">
        <f ca="1">IFERROR(VLOOKUP($A99,Balanse2022!$B$7:$H$200,7,FALSE),"")</f>
        <v>507467</v>
      </c>
      <c r="F99" s="154">
        <f ca="1">IFERROR(VLOOKUP($A99,Balanse2023!$B$7:$H$200,7,FALSE),"")</f>
        <v>475524</v>
      </c>
    </row>
    <row r="100" spans="1:6" collapsed="1">
      <c r="A100" s="110" t="str">
        <f>"    "&amp;"Skyldige offentlige avgifter"</f>
        <v xml:space="preserve">    Skyldige offentlige avgifter</v>
      </c>
      <c r="C100" s="154">
        <f ca="1">IFERROR(VLOOKUP($A100,Balanse2021!$B$7:$H$200,5,FALSE),"")</f>
        <v>440817</v>
      </c>
      <c r="D100" s="154">
        <f ca="1">IFERROR(VLOOKUP($A100,Balanse2021!$B$7:$H$200,7,FALSE),"")</f>
        <v>430506</v>
      </c>
      <c r="E100" s="154">
        <f ca="1">IFERROR(VLOOKUP($A100,Balanse2022!$B$7:$H$200,7,FALSE),"")</f>
        <v>452110</v>
      </c>
      <c r="F100" s="154">
        <f ca="1">IFERROR(VLOOKUP($A100,Balanse2023!$B$7:$H$200,7,FALSE),"")</f>
        <v>515536.94</v>
      </c>
    </row>
    <row r="101" spans="1:6" hidden="1" outlineLevel="1">
      <c r="A101" s="112">
        <v>2770</v>
      </c>
      <c r="B101" s="113" t="s">
        <v>300</v>
      </c>
      <c r="C101" s="154">
        <f ca="1">IFERROR(VLOOKUP($A101,Balanse2021!$B$7:$H$200,5,FALSE),"")</f>
        <v>277633</v>
      </c>
      <c r="D101" s="154">
        <f ca="1">IFERROR(VLOOKUP($A101,Balanse2021!$B$7:$H$200,7,FALSE),"")</f>
        <v>254377</v>
      </c>
      <c r="E101" s="154">
        <f ca="1">IFERROR(VLOOKUP($A101,Balanse2022!$B$7:$H$200,7,FALSE),"")</f>
        <v>278405</v>
      </c>
      <c r="F101" s="154">
        <f ca="1">IFERROR(VLOOKUP($A101,Balanse2023!$B$7:$H$200,7,FALSE),"")</f>
        <v>327660.77</v>
      </c>
    </row>
    <row r="102" spans="1:6" hidden="1" outlineLevel="1">
      <c r="A102" s="112">
        <v>2780</v>
      </c>
      <c r="B102" s="113" t="s">
        <v>301</v>
      </c>
      <c r="C102" s="154">
        <f ca="1">IFERROR(VLOOKUP($A102,Balanse2021!$B$7:$H$200,5,FALSE),"")</f>
        <v>163184</v>
      </c>
      <c r="D102" s="154">
        <f ca="1">IFERROR(VLOOKUP($A102,Balanse2021!$B$7:$H$200,7,FALSE),"")</f>
        <v>176129</v>
      </c>
      <c r="E102" s="154">
        <f ca="1">IFERROR(VLOOKUP($A102,Balanse2022!$B$7:$H$200,7,FALSE),"")</f>
        <v>173705</v>
      </c>
      <c r="F102" s="154">
        <f ca="1">IFERROR(VLOOKUP($A102,Balanse2023!$B$7:$H$200,7,FALSE),"")</f>
        <v>187876.17</v>
      </c>
    </row>
    <row r="103" spans="1:6" collapsed="1">
      <c r="A103" s="110" t="str">
        <f>"    "&amp;"Annen kortsiktig gjeld"</f>
        <v xml:space="preserve">    Annen kortsiktig gjeld</v>
      </c>
      <c r="C103" s="154">
        <f ca="1">IFERROR(VLOOKUP($A103,Balanse2021!$B$7:$H$200,5,FALSE),"")</f>
        <v>14711607.189999999</v>
      </c>
      <c r="D103" s="154">
        <f ca="1">IFERROR(VLOOKUP($A103,Balanse2021!$B$7:$H$200,7,FALSE),"")</f>
        <v>2483488.4399999995</v>
      </c>
      <c r="E103" s="154">
        <f ca="1">IFERROR(VLOOKUP($A103,Balanse2022!$B$7:$H$200,7,FALSE),"")</f>
        <v>3082472.5300000003</v>
      </c>
      <c r="F103" s="154">
        <f ca="1">IFERROR(VLOOKUP($A103,Balanse2023!$B$7:$H$200,7,FALSE),"")</f>
        <v>3842385.62</v>
      </c>
    </row>
    <row r="104" spans="1:6" hidden="1" outlineLevel="1">
      <c r="A104" s="112">
        <v>1780</v>
      </c>
      <c r="B104" s="113" t="s">
        <v>302</v>
      </c>
      <c r="C104" s="154">
        <f ca="1">IFERROR(VLOOKUP($A104,Balanse2021!$B$7:$H$200,5,FALSE),"")</f>
        <v>-860360</v>
      </c>
      <c r="D104" s="154">
        <f ca="1">IFERROR(VLOOKUP($A104,Balanse2021!$B$7:$H$200,7,FALSE),"")</f>
        <v>-148994.80000000005</v>
      </c>
      <c r="E104" s="154">
        <f ca="1">IFERROR(VLOOKUP($A104,Balanse2022!$B$7:$H$200,7,FALSE),"")</f>
        <v>369031</v>
      </c>
      <c r="F104" s="154">
        <f ca="1">IFERROR(VLOOKUP($A104,Balanse2023!$B$7:$H$200,7,FALSE),"")</f>
        <v>0</v>
      </c>
    </row>
    <row r="105" spans="1:6" hidden="1" outlineLevel="1">
      <c r="A105" s="112">
        <v>1932</v>
      </c>
      <c r="B105" s="113" t="s">
        <v>303</v>
      </c>
      <c r="C105" s="154">
        <f ca="1">IFERROR(VLOOKUP($A105,Balanse2021!$B$7:$H$200,5,FALSE),"")</f>
        <v>5897.5</v>
      </c>
      <c r="D105" s="154">
        <f ca="1">IFERROR(VLOOKUP($A105,Balanse2021!$B$7:$H$200,7,FALSE),"")</f>
        <v>32942.130000000005</v>
      </c>
      <c r="E105" s="154">
        <f ca="1">IFERROR(VLOOKUP($A105,Balanse2022!$B$7:$H$200,7,FALSE),"")</f>
        <v>28298.44</v>
      </c>
      <c r="F105" s="154">
        <f ca="1">IFERROR(VLOOKUP($A105,Balanse2023!$B$7:$H$200,7,FALSE),"")</f>
        <v>0</v>
      </c>
    </row>
    <row r="106" spans="1:6" hidden="1" outlineLevel="1">
      <c r="A106" s="112">
        <v>1933</v>
      </c>
      <c r="B106" s="113" t="s">
        <v>304</v>
      </c>
      <c r="C106" s="154">
        <f ca="1">IFERROR(VLOOKUP($A106,Balanse2021!$B$7:$H$200,5,FALSE),"")</f>
        <v>4073.1</v>
      </c>
      <c r="D106" s="154">
        <f ca="1">IFERROR(VLOOKUP($A106,Balanse2021!$B$7:$H$200,7,FALSE),"")</f>
        <v>3125.87</v>
      </c>
      <c r="E106" s="154">
        <f ca="1">IFERROR(VLOOKUP($A106,Balanse2022!$B$7:$H$200,7,FALSE),"")</f>
        <v>5334.5599999999995</v>
      </c>
      <c r="F106" s="154">
        <f ca="1">IFERROR(VLOOKUP($A106,Balanse2023!$B$7:$H$200,7,FALSE),"")</f>
        <v>5144.8700000000008</v>
      </c>
    </row>
    <row r="107" spans="1:6" hidden="1" outlineLevel="1">
      <c r="A107" s="112">
        <v>2900</v>
      </c>
      <c r="B107" s="113" t="s">
        <v>305</v>
      </c>
      <c r="C107" s="154" t="str">
        <f ca="1">IFERROR(VLOOKUP($A107,Balanse2021!$B$7:$H$200,5,FALSE),"")</f>
        <v/>
      </c>
      <c r="D107" s="154" t="str">
        <f ca="1">IFERROR(VLOOKUP($A107,Balanse2021!$B$7:$H$200,7,FALSE),"")</f>
        <v/>
      </c>
      <c r="E107" s="154" t="str">
        <f ca="1">IFERROR(VLOOKUP($A107,Balanse2022!$B$7:$H$200,7,FALSE),"")</f>
        <v/>
      </c>
      <c r="F107" s="154">
        <f ca="1">IFERROR(VLOOKUP($A107,Balanse2023!$B$7:$H$200,7,FALSE),"")</f>
        <v>6343</v>
      </c>
    </row>
    <row r="108" spans="1:6" hidden="1" outlineLevel="1">
      <c r="A108" s="112">
        <v>2920</v>
      </c>
      <c r="B108" s="113" t="s">
        <v>306</v>
      </c>
      <c r="C108" s="154">
        <f ca="1">IFERROR(VLOOKUP($A108,Balanse2021!$B$7:$H$200,5,FALSE),"")</f>
        <v>13239055.59</v>
      </c>
      <c r="D108" s="154">
        <f ca="1">IFERROR(VLOOKUP($A108,Balanse2021!$B$7:$H$200,7,FALSE),"")</f>
        <v>0</v>
      </c>
      <c r="E108" s="154">
        <f ca="1">IFERROR(VLOOKUP($A108,Balanse2022!$B$7:$H$200,7,FALSE),"")</f>
        <v>0</v>
      </c>
      <c r="F108" s="154">
        <f ca="1">IFERROR(VLOOKUP($A108,Balanse2023!$B$7:$H$200,7,FALSE),"")</f>
        <v>0</v>
      </c>
    </row>
    <row r="109" spans="1:6" hidden="1" outlineLevel="1">
      <c r="A109" s="112">
        <v>2940</v>
      </c>
      <c r="B109" s="113" t="s">
        <v>92</v>
      </c>
      <c r="C109" s="154">
        <f ca="1">IFERROR(VLOOKUP($A109,Balanse2021!$B$7:$H$200,5,FALSE),"")</f>
        <v>1441165</v>
      </c>
      <c r="D109" s="154">
        <f ca="1">IFERROR(VLOOKUP($A109,Balanse2021!$B$7:$H$200,7,FALSE),"")</f>
        <v>1480408</v>
      </c>
      <c r="E109" s="154">
        <f ca="1">IFERROR(VLOOKUP($A109,Balanse2022!$B$7:$H$200,7,FALSE),"")</f>
        <v>1527676</v>
      </c>
      <c r="F109" s="154">
        <f ca="1">IFERROR(VLOOKUP($A109,Balanse2023!$B$7:$H$200,7,FALSE),"")</f>
        <v>1668323.73</v>
      </c>
    </row>
    <row r="110" spans="1:6" hidden="1" outlineLevel="1">
      <c r="A110" s="112">
        <v>2960</v>
      </c>
      <c r="B110" s="113" t="s">
        <v>307</v>
      </c>
      <c r="C110" s="154">
        <f ca="1">IFERROR(VLOOKUP($A110,Balanse2021!$B$7:$H$200,5,FALSE),"")</f>
        <v>53250</v>
      </c>
      <c r="D110" s="154">
        <f ca="1">IFERROR(VLOOKUP($A110,Balanse2021!$B$7:$H$200,7,FALSE),"")</f>
        <v>4500</v>
      </c>
      <c r="E110" s="154">
        <f ca="1">IFERROR(VLOOKUP($A110,Balanse2022!$B$7:$H$200,7,FALSE),"")</f>
        <v>768738.74</v>
      </c>
      <c r="F110" s="154">
        <f ca="1">IFERROR(VLOOKUP($A110,Balanse2023!$B$7:$H$200,7,FALSE),"")</f>
        <v>0</v>
      </c>
    </row>
    <row r="111" spans="1:6" hidden="1" outlineLevel="1">
      <c r="A111" s="112">
        <v>2965</v>
      </c>
      <c r="B111" s="113" t="s">
        <v>308</v>
      </c>
      <c r="C111" s="154" t="str">
        <f ca="1">IFERROR(VLOOKUP($A111,Balanse2021!$B$7:$H$200,5,FALSE),"")</f>
        <v/>
      </c>
      <c r="D111" s="154" t="str">
        <f ca="1">IFERROR(VLOOKUP($A111,Balanse2021!$B$7:$H$200,7,FALSE),"")</f>
        <v/>
      </c>
      <c r="E111" s="154" t="str">
        <f ca="1">IFERROR(VLOOKUP($A111,Balanse2022!$B$7:$H$200,7,FALSE),"")</f>
        <v/>
      </c>
      <c r="F111" s="154">
        <f ca="1">IFERROR(VLOOKUP($A111,Balanse2023!$B$7:$H$200,7,FALSE),"")</f>
        <v>912606.21</v>
      </c>
    </row>
    <row r="112" spans="1:6" hidden="1" outlineLevel="1">
      <c r="A112" s="112">
        <v>2970</v>
      </c>
      <c r="B112" s="113" t="s">
        <v>309</v>
      </c>
      <c r="C112" s="154">
        <f ca="1">IFERROR(VLOOKUP($A112,Balanse2021!$B$7:$H$200,5,FALSE),"")</f>
        <v>0</v>
      </c>
      <c r="D112" s="154">
        <f ca="1">IFERROR(VLOOKUP($A112,Balanse2021!$B$7:$H$200,7,FALSE),"")</f>
        <v>775558.24</v>
      </c>
      <c r="E112" s="154">
        <f ca="1">IFERROR(VLOOKUP($A112,Balanse2022!$B$7:$H$200,7,FALSE),"")</f>
        <v>25250</v>
      </c>
      <c r="F112" s="154">
        <f ca="1">IFERROR(VLOOKUP($A112,Balanse2023!$B$7:$H$200,7,FALSE),"")</f>
        <v>0</v>
      </c>
    </row>
    <row r="113" spans="1:6" hidden="1" outlineLevel="1">
      <c r="A113" s="112">
        <v>2988</v>
      </c>
      <c r="B113" s="113" t="s">
        <v>310</v>
      </c>
      <c r="C113" s="154" t="str">
        <f ca="1">IFERROR(VLOOKUP($A113,Balanse2021!$B$7:$H$200,5,FALSE),"")</f>
        <v/>
      </c>
      <c r="D113" s="154" t="str">
        <f ca="1">IFERROR(VLOOKUP($A113,Balanse2021!$B$7:$H$200,7,FALSE),"")</f>
        <v/>
      </c>
      <c r="E113" s="154" t="str">
        <f ca="1">IFERROR(VLOOKUP($A113,Balanse2022!$B$7:$H$200,7,FALSE),"")</f>
        <v/>
      </c>
      <c r="F113" s="154">
        <f ca="1">IFERROR(VLOOKUP($A113,Balanse2023!$B$7:$H$200,7,FALSE),"")</f>
        <v>0</v>
      </c>
    </row>
    <row r="114" spans="1:6" hidden="1" outlineLevel="1">
      <c r="A114" s="112">
        <v>2990</v>
      </c>
      <c r="B114" s="113" t="s">
        <v>311</v>
      </c>
      <c r="C114" s="154">
        <f ca="1">IFERROR(VLOOKUP($A114,Balanse2021!$B$7:$H$200,5,FALSE),"")</f>
        <v>0</v>
      </c>
      <c r="D114" s="154">
        <f ca="1">IFERROR(VLOOKUP($A114,Balanse2021!$B$7:$H$200,7,FALSE),"")</f>
        <v>0</v>
      </c>
      <c r="E114" s="154">
        <f ca="1">IFERROR(VLOOKUP($A114,Balanse2022!$B$7:$H$200,7,FALSE),"")</f>
        <v>0</v>
      </c>
      <c r="F114" s="154" t="str">
        <f ca="1">IFERROR(VLOOKUP($A114,Balanse2023!$B$7:$H$200,7,FALSE),"")</f>
        <v/>
      </c>
    </row>
    <row r="115" spans="1:6" hidden="1" outlineLevel="1">
      <c r="A115" s="112">
        <v>2993</v>
      </c>
      <c r="B115" s="113" t="s">
        <v>312</v>
      </c>
      <c r="C115" s="154">
        <f ca="1">IFERROR(VLOOKUP($A115,Balanse2021!$B$7:$H$200,5,FALSE),"")</f>
        <v>828526</v>
      </c>
      <c r="D115" s="154">
        <f ca="1">IFERROR(VLOOKUP($A115,Balanse2021!$B$7:$H$200,7,FALSE),"")</f>
        <v>335949</v>
      </c>
      <c r="E115" s="154">
        <f ca="1">IFERROR(VLOOKUP($A115,Balanse2022!$B$7:$H$200,7,FALSE),"")</f>
        <v>358143.79</v>
      </c>
      <c r="F115" s="154">
        <f ca="1">IFERROR(VLOOKUP($A115,Balanse2023!$B$7:$H$200,7,FALSE),"")</f>
        <v>1249967.81</v>
      </c>
    </row>
    <row r="116" spans="1:6" collapsed="1">
      <c r="A116" s="48" t="str">
        <f>"Sum " &amp; LOWER("Kortsiktig gjeld")</f>
        <v>Sum kortsiktig gjeld</v>
      </c>
      <c r="B116" s="49"/>
      <c r="C116" s="156">
        <f ca="1">IFERROR(VLOOKUP($A116,Balanse2021!$B$7:$H$200,5,FALSE),"")</f>
        <v>16632279.6</v>
      </c>
      <c r="D116" s="156">
        <f ca="1">IFERROR(VLOOKUP($A116,Balanse2021!$B$7:$H$200,7,FALSE),"")</f>
        <v>4463498.8499999996</v>
      </c>
      <c r="E116" s="156">
        <f ca="1">IFERROR(VLOOKUP($A116,Balanse2022!$B$7:$H$200,7,FALSE),"")</f>
        <v>5158904.6400000006</v>
      </c>
      <c r="F116" s="156">
        <f ca="1">IFERROR(VLOOKUP($A116,Balanse2023!$B$7:$H$200,7,FALSE),"")</f>
        <v>8083318.9100000011</v>
      </c>
    </row>
    <row r="117" spans="1:6">
      <c r="A117" s="23"/>
      <c r="B117" s="1"/>
      <c r="C117" s="154" t="str">
        <f ca="1">IFERROR(VLOOKUP($A117,Balanse2021!$B$7:$H$200,5,FALSE),"")</f>
        <v/>
      </c>
      <c r="D117" s="154" t="str">
        <f ca="1">IFERROR(VLOOKUP($A117,Balanse2021!$B$7:$H$200,7,FALSE),"")</f>
        <v/>
      </c>
      <c r="E117" s="154" t="str">
        <f ca="1">IFERROR(VLOOKUP($A117,Balanse2022!$B$7:$H$200,7,FALSE),"")</f>
        <v/>
      </c>
      <c r="F117" s="154" t="str">
        <f ca="1">IFERROR(VLOOKUP($A117,Balanse2023!$B$7:$H$200,7,FALSE),"")</f>
        <v/>
      </c>
    </row>
    <row r="118" spans="1:6" ht="15.6">
      <c r="A118" s="117" t="s">
        <v>313</v>
      </c>
      <c r="B118" s="118"/>
      <c r="C118" s="150">
        <f ca="1">IFERROR(VLOOKUP($A118,Balanse2021!$B$7:$H$200,5,FALSE),"")</f>
        <v>90247670.010000005</v>
      </c>
      <c r="D118" s="150">
        <f ca="1">IFERROR(VLOOKUP($A118,Balanse2021!$B$7:$H$200,7,FALSE),"")</f>
        <v>80132044.01000002</v>
      </c>
      <c r="E118" s="150">
        <f ca="1">IFERROR(VLOOKUP($A118,Balanse2022!$B$7:$H$200,7,FALSE),"")</f>
        <v>80318459.239999995</v>
      </c>
      <c r="F118" s="150">
        <f ca="1">IFERROR(VLOOKUP($A118,Balanse2023!$B$7:$H$200,7,FALSE),"")</f>
        <v>83750128.900000006</v>
      </c>
    </row>
  </sheetData>
  <conditionalFormatting sqref="A3:A1048576">
    <cfRule type="duplicateValues" dxfId="11" priority="7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9DA2B-A454-45CB-ABB9-BAC12D575E23}">
  <sheetPr>
    <pageSetUpPr fitToPage="1"/>
  </sheetPr>
  <dimension ref="A1:V217"/>
  <sheetViews>
    <sheetView showGridLines="0" workbookViewId="0">
      <pane ySplit="10" topLeftCell="A11" activePane="bottomLeft" state="frozen"/>
      <selection pane="bottomLeft" activeCell="A202" sqref="A202:XFD202"/>
    </sheetView>
  </sheetViews>
  <sheetFormatPr defaultColWidth="11.42578125" defaultRowHeight="14.45" outlineLevelRow="2" outlineLevelCol="1"/>
  <cols>
    <col min="1" max="1" width="1.7109375" customWidth="1"/>
    <col min="2" max="2" width="16" customWidth="1"/>
    <col min="3" max="3" width="32.7109375" customWidth="1"/>
    <col min="4" max="5" width="12.7109375" customWidth="1"/>
    <col min="6" max="6" width="12.7109375" hidden="1" customWidth="1" outlineLevel="1"/>
    <col min="7" max="7" width="2.140625" customWidth="1" collapsed="1"/>
    <col min="8" max="8" width="8.85546875" hidden="1" customWidth="1" outlineLevel="1"/>
    <col min="9" max="9" width="12.7109375" customWidth="1" collapsed="1"/>
    <col min="10" max="10" width="12.7109375" hidden="1" customWidth="1" outlineLevel="1"/>
    <col min="11" max="11" width="2.5703125" customWidth="1" collapsed="1"/>
    <col min="12" max="12" width="10" hidden="1" customWidth="1" outlineLevel="1"/>
    <col min="13" max="13" width="12.7109375" customWidth="1" collapsed="1"/>
    <col min="14" max="14" width="12.7109375" customWidth="1"/>
    <col min="15" max="15" width="12.7109375" hidden="1" customWidth="1" outlineLevel="1"/>
    <col min="16" max="16" width="3.42578125" customWidth="1" collapsed="1"/>
    <col min="17" max="17" width="6.7109375" hidden="1" customWidth="1" outlineLevel="1"/>
    <col min="18" max="18" width="12.7109375" customWidth="1" collapsed="1"/>
    <col min="19" max="19" width="12.7109375" hidden="1" customWidth="1" outlineLevel="1"/>
    <col min="20" max="20" width="2.85546875" customWidth="1" collapsed="1"/>
    <col min="21" max="21" width="8.5703125" hidden="1" customWidth="1" outlineLevel="1"/>
    <col min="22" max="22" width="11.42578125" collapsed="1"/>
  </cols>
  <sheetData>
    <row r="1" spans="1:21" ht="9.9499999999999993" customHeigh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6" t="s">
        <v>314</v>
      </c>
    </row>
    <row r="2" spans="1:21" ht="18">
      <c r="A2" s="7"/>
      <c r="B2" s="8" t="s">
        <v>315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9">
        <v>45322.595219907409</v>
      </c>
    </row>
    <row r="3" spans="1:21" ht="15.75" customHeight="1">
      <c r="A3" s="7"/>
      <c r="B3" s="10" t="s">
        <v>316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11"/>
    </row>
    <row r="4" spans="1:21" ht="11.25" hidden="1" customHeight="1" outlineLevel="1">
      <c r="A4" s="7"/>
      <c r="B4" s="8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11"/>
    </row>
    <row r="5" spans="1:21" ht="11.25" hidden="1" customHeight="1" outlineLevel="1">
      <c r="A5" s="12"/>
      <c r="B5" s="12" t="s">
        <v>317</v>
      </c>
      <c r="C5" s="13" t="str">
        <f>IF("*,NULL"="*,NULL","Alle","*,NULL")</f>
        <v>Alle</v>
      </c>
      <c r="D5" s="12" t="s">
        <v>318</v>
      </c>
      <c r="E5" s="13" t="str">
        <f>IF("*,NULL"="*,NULL","Alle","*,NULL")</f>
        <v>Alle</v>
      </c>
    </row>
    <row r="6" spans="1:21" ht="11.25" hidden="1" customHeight="1" outlineLevel="1">
      <c r="A6" s="12"/>
      <c r="B6" s="12" t="s">
        <v>319</v>
      </c>
      <c r="C6" s="13" t="str">
        <f>IF("*,NULL"="*,NULL","Alle","*,NULL")</f>
        <v>Alle</v>
      </c>
      <c r="D6" s="12" t="s">
        <v>320</v>
      </c>
      <c r="E6" s="13" t="str">
        <f>IF("*,NULL"="*,NULL","Alle","*,NULL")</f>
        <v>Alle</v>
      </c>
    </row>
    <row r="7" spans="1:21" ht="11.25" hidden="1" customHeight="1" outlineLevel="1">
      <c r="A7" s="12"/>
      <c r="B7" s="12" t="s">
        <v>321</v>
      </c>
      <c r="C7" s="13" t="str">
        <f>IF("*,NULL"="*,NULL","Alle","*,NULL")</f>
        <v>Alle</v>
      </c>
      <c r="D7" s="12" t="s">
        <v>322</v>
      </c>
      <c r="E7" s="13" t="str">
        <f>IF("*,NULL"="*,NULL","Alle","*,NULL")</f>
        <v>Alle</v>
      </c>
    </row>
    <row r="8" spans="1:21" ht="11.25" customHeight="1" collapsed="1">
      <c r="D8" s="6"/>
      <c r="E8" s="6"/>
    </row>
    <row r="9" spans="1:21">
      <c r="B9" s="14" t="str">
        <f>"Periode: "&amp;"202001"&amp;"-"&amp;"202012"</f>
        <v>Periode: 202001-202012</v>
      </c>
      <c r="C9" s="15"/>
      <c r="D9" s="183" t="s">
        <v>323</v>
      </c>
      <c r="E9" s="184"/>
      <c r="F9" s="184"/>
      <c r="G9" s="184"/>
      <c r="H9" s="184"/>
      <c r="I9" s="184"/>
      <c r="J9" s="184"/>
      <c r="K9" s="184"/>
      <c r="L9" s="184"/>
      <c r="M9" s="183" t="s">
        <v>324</v>
      </c>
      <c r="N9" s="184"/>
      <c r="O9" s="184"/>
      <c r="P9" s="184"/>
      <c r="Q9" s="184"/>
      <c r="R9" s="184"/>
      <c r="S9" s="184"/>
      <c r="T9" s="184"/>
      <c r="U9" s="185"/>
    </row>
    <row r="10" spans="1:21" ht="15" customHeight="1">
      <c r="B10" s="17"/>
      <c r="C10" s="18"/>
      <c r="D10" s="19" t="s">
        <v>325</v>
      </c>
      <c r="E10" s="20" t="s">
        <v>53</v>
      </c>
      <c r="F10" s="20" t="s">
        <v>326</v>
      </c>
      <c r="G10" s="20"/>
      <c r="H10" s="20" t="s">
        <v>327</v>
      </c>
      <c r="I10" s="20" t="s">
        <v>328</v>
      </c>
      <c r="J10" s="20" t="s">
        <v>326</v>
      </c>
      <c r="K10" s="20"/>
      <c r="L10" s="20" t="s">
        <v>329</v>
      </c>
      <c r="M10" s="21" t="s">
        <v>325</v>
      </c>
      <c r="N10" s="20" t="s">
        <v>53</v>
      </c>
      <c r="O10" s="20" t="s">
        <v>326</v>
      </c>
      <c r="P10" s="20"/>
      <c r="Q10" s="20" t="s">
        <v>327</v>
      </c>
      <c r="R10" s="20" t="s">
        <v>328</v>
      </c>
      <c r="S10" s="20" t="s">
        <v>326</v>
      </c>
      <c r="T10" s="18"/>
      <c r="U10" s="18" t="s">
        <v>329</v>
      </c>
    </row>
    <row r="11" spans="1:21" ht="9" customHeight="1">
      <c r="A11" s="22"/>
      <c r="B11" s="23"/>
      <c r="C11" s="24"/>
      <c r="D11" s="25"/>
      <c r="E11" s="26"/>
      <c r="F11" s="26"/>
      <c r="G11" s="26"/>
      <c r="H11" s="26"/>
      <c r="I11" s="26"/>
      <c r="J11" s="26"/>
      <c r="K11" s="26"/>
      <c r="L11" s="26"/>
      <c r="M11" s="27"/>
      <c r="T11" s="24"/>
      <c r="U11" s="24"/>
    </row>
    <row r="12" spans="1:21" hidden="1" outlineLevel="2">
      <c r="A12" s="22"/>
      <c r="B12" s="28">
        <v>3001</v>
      </c>
      <c r="C12" s="29" t="s">
        <v>330</v>
      </c>
      <c r="D12" s="5">
        <f>-N(0)</f>
        <v>0</v>
      </c>
      <c r="E12" s="30">
        <f>-N(-14000)</f>
        <v>14000</v>
      </c>
      <c r="F12" s="30">
        <f t="shared" ref="F12:F18" si="0">D12-E12</f>
        <v>-14000</v>
      </c>
      <c r="G12" s="30"/>
      <c r="H12" s="31">
        <f t="shared" ref="H12:H18" si="1">IF(E12=0,0,F12*100/E12)</f>
        <v>-100</v>
      </c>
      <c r="I12" s="32">
        <f>-N(0)</f>
        <v>0</v>
      </c>
      <c r="J12" s="30">
        <f t="shared" ref="J12:J18" si="2">D12-I12</f>
        <v>0</v>
      </c>
      <c r="K12" s="30"/>
      <c r="L12" s="30">
        <f t="shared" ref="L12:L18" si="3">IF(I12=0,0,J12*100/I12)</f>
        <v>0</v>
      </c>
      <c r="M12" s="5">
        <f>-N(0)</f>
        <v>0</v>
      </c>
      <c r="N12" s="30">
        <f>-N(-14000)</f>
        <v>14000</v>
      </c>
      <c r="O12" s="30">
        <f t="shared" ref="O12:O18" si="4">M12-N12</f>
        <v>-14000</v>
      </c>
      <c r="P12" s="30"/>
      <c r="Q12" s="30">
        <f t="shared" ref="Q12:Q18" si="5">IF(N12=0,0,O12*100/N12)</f>
        <v>-100</v>
      </c>
      <c r="R12" s="32">
        <f>-N(0)</f>
        <v>0</v>
      </c>
      <c r="S12" s="33">
        <f t="shared" ref="S12:S18" si="6">M12-R12</f>
        <v>0</v>
      </c>
      <c r="T12" s="34"/>
      <c r="U12" s="34">
        <f t="shared" ref="U12:U18" si="7">IF(R12=0,0,S12*100/R12)</f>
        <v>0</v>
      </c>
    </row>
    <row r="13" spans="1:21" hidden="1" outlineLevel="2">
      <c r="A13" s="22"/>
      <c r="B13" s="28">
        <v>3100</v>
      </c>
      <c r="C13" s="29" t="s">
        <v>54</v>
      </c>
      <c r="D13" s="5">
        <f>-N(-490)</f>
        <v>490</v>
      </c>
      <c r="E13" s="30">
        <f>-N(-365000)</f>
        <v>365000</v>
      </c>
      <c r="F13" s="30">
        <f t="shared" si="0"/>
        <v>-364510</v>
      </c>
      <c r="G13" s="30"/>
      <c r="H13" s="31">
        <f t="shared" si="1"/>
        <v>-99.865753424657541</v>
      </c>
      <c r="I13" s="32">
        <f>-N(-670419)</f>
        <v>670419</v>
      </c>
      <c r="J13" s="30">
        <f t="shared" si="2"/>
        <v>-669929</v>
      </c>
      <c r="K13" s="30"/>
      <c r="L13" s="30">
        <f t="shared" si="3"/>
        <v>-99.9269113793016</v>
      </c>
      <c r="M13" s="5">
        <f>-N(-490)</f>
        <v>490</v>
      </c>
      <c r="N13" s="30">
        <f>-N(-365000)</f>
        <v>365000</v>
      </c>
      <c r="O13" s="30">
        <f t="shared" si="4"/>
        <v>-364510</v>
      </c>
      <c r="P13" s="30"/>
      <c r="Q13" s="30">
        <f t="shared" si="5"/>
        <v>-99.865753424657541</v>
      </c>
      <c r="R13" s="32">
        <f>-N(-670419)</f>
        <v>670419</v>
      </c>
      <c r="S13" s="33">
        <f t="shared" si="6"/>
        <v>-669929</v>
      </c>
      <c r="T13" s="34"/>
      <c r="U13" s="34">
        <f t="shared" si="7"/>
        <v>-99.9269113793016</v>
      </c>
    </row>
    <row r="14" spans="1:21" hidden="1" outlineLevel="1">
      <c r="A14" s="22"/>
      <c r="B14" s="35" t="str">
        <f>"    "&amp;"Salgsinntekt, avgiftspliktig"</f>
        <v xml:space="preserve">    Salgsinntekt, avgiftspliktig</v>
      </c>
      <c r="C14" s="36"/>
      <c r="D14" s="37">
        <f>SUM(D12:D13)</f>
        <v>490</v>
      </c>
      <c r="E14" s="33">
        <f>SUM(E12:E13)</f>
        <v>379000</v>
      </c>
      <c r="F14" s="33">
        <f t="shared" si="0"/>
        <v>-378510</v>
      </c>
      <c r="G14" s="33"/>
      <c r="H14" s="38">
        <f t="shared" si="1"/>
        <v>-99.870712401055414</v>
      </c>
      <c r="I14" s="39">
        <f>SUM(I12:I13)</f>
        <v>670419</v>
      </c>
      <c r="J14" s="33">
        <f t="shared" si="2"/>
        <v>-669929</v>
      </c>
      <c r="K14" s="33"/>
      <c r="L14" s="40">
        <f t="shared" si="3"/>
        <v>-99.9269113793016</v>
      </c>
      <c r="M14" s="37">
        <f>SUM(M12:M13)</f>
        <v>490</v>
      </c>
      <c r="N14" s="33">
        <f>SUM(N12:N13)</f>
        <v>379000</v>
      </c>
      <c r="O14" s="33">
        <f t="shared" si="4"/>
        <v>-378510</v>
      </c>
      <c r="P14" s="33"/>
      <c r="Q14" s="33">
        <f t="shared" si="5"/>
        <v>-99.870712401055414</v>
      </c>
      <c r="R14" s="39">
        <f>SUM(R12:R13)</f>
        <v>670419</v>
      </c>
      <c r="S14" s="33">
        <f t="shared" si="6"/>
        <v>-669929</v>
      </c>
      <c r="T14" s="34"/>
      <c r="U14" s="34">
        <f t="shared" si="7"/>
        <v>-99.9269113793016</v>
      </c>
    </row>
    <row r="15" spans="1:21" hidden="1" outlineLevel="2">
      <c r="A15" s="22"/>
      <c r="B15" s="28">
        <v>3200</v>
      </c>
      <c r="C15" s="29" t="s">
        <v>58</v>
      </c>
      <c r="D15" s="5">
        <f>-N(-28700)</f>
        <v>28700</v>
      </c>
      <c r="E15" s="30">
        <f>-N(-145000)</f>
        <v>145000</v>
      </c>
      <c r="F15" s="30">
        <f t="shared" si="0"/>
        <v>-116300</v>
      </c>
      <c r="G15" s="30"/>
      <c r="H15" s="31">
        <f t="shared" si="1"/>
        <v>-80.206896551724142</v>
      </c>
      <c r="I15" s="32">
        <f>-N(-1757900.74)</f>
        <v>1757900.74</v>
      </c>
      <c r="J15" s="30">
        <f t="shared" si="2"/>
        <v>-1729200.74</v>
      </c>
      <c r="K15" s="30"/>
      <c r="L15" s="30">
        <f t="shared" si="3"/>
        <v>-98.367370844840764</v>
      </c>
      <c r="M15" s="5">
        <f>-N(-28700)</f>
        <v>28700</v>
      </c>
      <c r="N15" s="30">
        <f>-N(-145000)</f>
        <v>145000</v>
      </c>
      <c r="O15" s="30">
        <f t="shared" si="4"/>
        <v>-116300</v>
      </c>
      <c r="P15" s="30"/>
      <c r="Q15" s="30">
        <f t="shared" si="5"/>
        <v>-80.206896551724142</v>
      </c>
      <c r="R15" s="32">
        <f>-N(-1757900.74)</f>
        <v>1757900.74</v>
      </c>
      <c r="S15" s="33">
        <f t="shared" si="6"/>
        <v>-1729200.74</v>
      </c>
      <c r="T15" s="34"/>
      <c r="U15" s="34">
        <f t="shared" si="7"/>
        <v>-98.367370844840764</v>
      </c>
    </row>
    <row r="16" spans="1:21" hidden="1" outlineLevel="2">
      <c r="A16" s="22"/>
      <c r="B16" s="28">
        <v>3205</v>
      </c>
      <c r="C16" s="29" t="s">
        <v>61</v>
      </c>
      <c r="D16" s="5">
        <f>-N(-1602.5)</f>
        <v>1602.5</v>
      </c>
      <c r="E16" s="30">
        <f>-N(0)</f>
        <v>0</v>
      </c>
      <c r="F16" s="30">
        <f t="shared" si="0"/>
        <v>1602.5</v>
      </c>
      <c r="G16" s="30"/>
      <c r="H16" s="31">
        <f t="shared" si="1"/>
        <v>0</v>
      </c>
      <c r="I16" s="32">
        <f>-N(-192988)</f>
        <v>192988</v>
      </c>
      <c r="J16" s="30">
        <f t="shared" si="2"/>
        <v>-191385.5</v>
      </c>
      <c r="K16" s="30"/>
      <c r="L16" s="30">
        <f t="shared" si="3"/>
        <v>-99.169637490413905</v>
      </c>
      <c r="M16" s="5">
        <f>-N(-1602.5)</f>
        <v>1602.5</v>
      </c>
      <c r="N16" s="30">
        <f>-N(0)</f>
        <v>0</v>
      </c>
      <c r="O16" s="30">
        <f t="shared" si="4"/>
        <v>1602.5</v>
      </c>
      <c r="P16" s="30"/>
      <c r="Q16" s="30">
        <f t="shared" si="5"/>
        <v>0</v>
      </c>
      <c r="R16" s="32">
        <f>-N(-192988)</f>
        <v>192988</v>
      </c>
      <c r="S16" s="33">
        <f t="shared" si="6"/>
        <v>-191385.5</v>
      </c>
      <c r="T16" s="34"/>
      <c r="U16" s="34">
        <f t="shared" si="7"/>
        <v>-99.169637490413905</v>
      </c>
    </row>
    <row r="17" spans="1:21" hidden="1" outlineLevel="2">
      <c r="A17" s="22"/>
      <c r="B17" s="28">
        <v>3226</v>
      </c>
      <c r="C17" s="29" t="s">
        <v>62</v>
      </c>
      <c r="D17" s="5">
        <f>-N(0)</f>
        <v>0</v>
      </c>
      <c r="E17" s="30">
        <f>-N(0)</f>
        <v>0</v>
      </c>
      <c r="F17" s="30">
        <f t="shared" si="0"/>
        <v>0</v>
      </c>
      <c r="G17" s="30"/>
      <c r="H17" s="31">
        <f t="shared" si="1"/>
        <v>0</v>
      </c>
      <c r="I17" s="32">
        <f>-N(-50000)</f>
        <v>50000</v>
      </c>
      <c r="J17" s="30">
        <f t="shared" si="2"/>
        <v>-50000</v>
      </c>
      <c r="K17" s="30"/>
      <c r="L17" s="30">
        <f t="shared" si="3"/>
        <v>-100</v>
      </c>
      <c r="M17" s="5">
        <f>-N(0)</f>
        <v>0</v>
      </c>
      <c r="N17" s="30">
        <f>-N(0)</f>
        <v>0</v>
      </c>
      <c r="O17" s="30">
        <f t="shared" si="4"/>
        <v>0</v>
      </c>
      <c r="P17" s="30"/>
      <c r="Q17" s="30">
        <f t="shared" si="5"/>
        <v>0</v>
      </c>
      <c r="R17" s="32">
        <f>-N(-50000)</f>
        <v>50000</v>
      </c>
      <c r="S17" s="33">
        <f t="shared" si="6"/>
        <v>-50000</v>
      </c>
      <c r="T17" s="34"/>
      <c r="U17" s="34">
        <f t="shared" si="7"/>
        <v>-100</v>
      </c>
    </row>
    <row r="18" spans="1:21" hidden="1" outlineLevel="2">
      <c r="A18" s="22"/>
      <c r="B18" s="28">
        <v>3415</v>
      </c>
      <c r="C18" s="29" t="s">
        <v>65</v>
      </c>
      <c r="D18" s="5">
        <f>-N(-26672)</f>
        <v>26672</v>
      </c>
      <c r="E18" s="30">
        <f>-N(0)</f>
        <v>0</v>
      </c>
      <c r="F18" s="30">
        <f t="shared" si="0"/>
        <v>26672</v>
      </c>
      <c r="G18" s="30"/>
      <c r="H18" s="31">
        <f t="shared" si="1"/>
        <v>0</v>
      </c>
      <c r="I18" s="32">
        <f>-N(0)</f>
        <v>0</v>
      </c>
      <c r="J18" s="30">
        <f t="shared" si="2"/>
        <v>26672</v>
      </c>
      <c r="K18" s="30"/>
      <c r="L18" s="30">
        <f t="shared" si="3"/>
        <v>0</v>
      </c>
      <c r="M18" s="5">
        <f>-N(-26672)</f>
        <v>26672</v>
      </c>
      <c r="N18" s="30">
        <f>-N(0)</f>
        <v>0</v>
      </c>
      <c r="O18" s="30">
        <f t="shared" si="4"/>
        <v>26672</v>
      </c>
      <c r="P18" s="30"/>
      <c r="Q18" s="30">
        <f t="shared" si="5"/>
        <v>0</v>
      </c>
      <c r="R18" s="32">
        <f>-N(0)</f>
        <v>0</v>
      </c>
      <c r="S18" s="33">
        <f t="shared" si="6"/>
        <v>26672</v>
      </c>
      <c r="T18" s="34"/>
      <c r="U18" s="34">
        <f t="shared" si="7"/>
        <v>0</v>
      </c>
    </row>
    <row r="19" spans="1:21" hidden="1" outlineLevel="1">
      <c r="A19" s="22"/>
      <c r="B19" s="35" t="str">
        <f>"    "&amp;"Arrangement"</f>
        <v xml:space="preserve">    Arrangement</v>
      </c>
      <c r="C19" s="36"/>
      <c r="D19" s="37">
        <f>SUM(D15:D18)</f>
        <v>56974.5</v>
      </c>
      <c r="E19" s="33">
        <f>SUM(E15:E18)</f>
        <v>145000</v>
      </c>
      <c r="F19" s="33">
        <f>D19-E19</f>
        <v>-88025.5</v>
      </c>
      <c r="G19" s="33"/>
      <c r="H19" s="38">
        <f>IF(E19=0,0,F19*100/E19)</f>
        <v>-60.707241379310346</v>
      </c>
      <c r="I19" s="39">
        <f>SUM(I15:I18)</f>
        <v>2000888.74</v>
      </c>
      <c r="J19" s="33">
        <f>D19-I19</f>
        <v>-1943914.24</v>
      </c>
      <c r="K19" s="33"/>
      <c r="L19" s="40">
        <f>IF(I19=0,0,J19*100/I19)</f>
        <v>-97.152540325655494</v>
      </c>
      <c r="M19" s="37">
        <f>SUM(M15:M18)</f>
        <v>56974.5</v>
      </c>
      <c r="N19" s="33">
        <f>SUM(N15:N18)</f>
        <v>145000</v>
      </c>
      <c r="O19" s="33">
        <f>M19-N19</f>
        <v>-88025.5</v>
      </c>
      <c r="P19" s="33"/>
      <c r="Q19" s="33">
        <f>IF(N19=0,0,O19*100/N19)</f>
        <v>-60.707241379310346</v>
      </c>
      <c r="R19" s="39">
        <f>SUM(R15:R18)</f>
        <v>2000888.74</v>
      </c>
      <c r="S19" s="33">
        <f>M19-R19</f>
        <v>-1943914.24</v>
      </c>
      <c r="T19" s="34"/>
      <c r="U19" s="34">
        <f>IF(R19=0,0,S19*100/R19)</f>
        <v>-97.152540325655494</v>
      </c>
    </row>
    <row r="20" spans="1:21" collapsed="1">
      <c r="A20" s="22"/>
      <c r="B20" s="41" t="s">
        <v>9</v>
      </c>
      <c r="C20" s="42"/>
      <c r="D20" s="43">
        <f>SUM(D14,D19)</f>
        <v>57464.5</v>
      </c>
      <c r="E20" s="44">
        <f>SUM(E14,E19)</f>
        <v>524000</v>
      </c>
      <c r="F20" s="44">
        <f t="shared" ref="F20:F41" si="8">D20-E20</f>
        <v>-466535.5</v>
      </c>
      <c r="G20" s="44"/>
      <c r="H20" s="45">
        <f t="shared" ref="H20:H41" si="9">IF(E20=0,0,F20*100/E20)</f>
        <v>-89.033492366412219</v>
      </c>
      <c r="I20" s="46">
        <f>SUM(I14,I19)</f>
        <v>2671307.7400000002</v>
      </c>
      <c r="J20" s="44">
        <f t="shared" ref="J20:J41" si="10">D20-I20</f>
        <v>-2613843.2400000002</v>
      </c>
      <c r="K20" s="44"/>
      <c r="L20" s="44">
        <f t="shared" ref="L20:L41" si="11">IF(I20=0,0,J20*100/I20)</f>
        <v>-97.848825160069353</v>
      </c>
      <c r="M20" s="43">
        <f>SUM(M14,M19)</f>
        <v>57464.5</v>
      </c>
      <c r="N20" s="44">
        <f>SUM(N14,N19)</f>
        <v>524000</v>
      </c>
      <c r="O20" s="44">
        <f t="shared" ref="O20:O41" si="12">M20-N20</f>
        <v>-466535.5</v>
      </c>
      <c r="P20" s="44"/>
      <c r="Q20" s="44">
        <f t="shared" ref="Q20:Q41" si="13">IF(N20=0,0,O20*100/N20)</f>
        <v>-89.033492366412219</v>
      </c>
      <c r="R20" s="46">
        <f>SUM(R14,R19)</f>
        <v>2671307.7400000002</v>
      </c>
      <c r="S20" s="44">
        <f t="shared" ref="S20:S41" si="14">M20-R20</f>
        <v>-2613843.2400000002</v>
      </c>
      <c r="T20" s="47"/>
      <c r="U20" s="47">
        <f t="shared" ref="U20:U41" si="15">IF(R20=0,0,S20*100/R20)</f>
        <v>-97.848825160069353</v>
      </c>
    </row>
    <row r="21" spans="1:21" hidden="1" outlineLevel="2">
      <c r="A21" s="22"/>
      <c r="B21" s="28">
        <v>3216</v>
      </c>
      <c r="C21" s="29" t="s">
        <v>66</v>
      </c>
      <c r="D21" s="5">
        <f t="shared" ref="D21:E23" si="16">-N(0)</f>
        <v>0</v>
      </c>
      <c r="E21" s="30">
        <f t="shared" si="16"/>
        <v>0</v>
      </c>
      <c r="F21" s="30">
        <f t="shared" si="8"/>
        <v>0</v>
      </c>
      <c r="G21" s="30"/>
      <c r="H21" s="31">
        <f t="shared" si="9"/>
        <v>0</v>
      </c>
      <c r="I21" s="32">
        <f>-N(-9300)</f>
        <v>9300</v>
      </c>
      <c r="J21" s="30">
        <f t="shared" si="10"/>
        <v>-9300</v>
      </c>
      <c r="K21" s="30"/>
      <c r="L21" s="30">
        <f t="shared" si="11"/>
        <v>-100</v>
      </c>
      <c r="M21" s="5">
        <f t="shared" ref="M21:N23" si="17">-N(0)</f>
        <v>0</v>
      </c>
      <c r="N21" s="30">
        <f t="shared" si="17"/>
        <v>0</v>
      </c>
      <c r="O21" s="30">
        <f t="shared" si="12"/>
        <v>0</v>
      </c>
      <c r="P21" s="30"/>
      <c r="Q21" s="30">
        <f t="shared" si="13"/>
        <v>0</v>
      </c>
      <c r="R21" s="32">
        <f>-N(-9300)</f>
        <v>9300</v>
      </c>
      <c r="S21" s="33">
        <f t="shared" si="14"/>
        <v>-9300</v>
      </c>
      <c r="T21" s="34"/>
      <c r="U21" s="34">
        <f t="shared" si="15"/>
        <v>-100</v>
      </c>
    </row>
    <row r="22" spans="1:21" hidden="1" outlineLevel="2">
      <c r="A22" s="22"/>
      <c r="B22" s="28">
        <v>3218</v>
      </c>
      <c r="C22" s="29" t="s">
        <v>67</v>
      </c>
      <c r="D22" s="5">
        <f>-N(-10744.72)</f>
        <v>10744.72</v>
      </c>
      <c r="E22" s="30">
        <f t="shared" si="16"/>
        <v>0</v>
      </c>
      <c r="F22" s="30">
        <f t="shared" si="8"/>
        <v>10744.72</v>
      </c>
      <c r="G22" s="30"/>
      <c r="H22" s="31">
        <f t="shared" si="9"/>
        <v>0</v>
      </c>
      <c r="I22" s="32">
        <f>-N(-34922)</f>
        <v>34922</v>
      </c>
      <c r="J22" s="30">
        <f t="shared" si="10"/>
        <v>-24177.279999999999</v>
      </c>
      <c r="K22" s="30"/>
      <c r="L22" s="30">
        <f t="shared" si="11"/>
        <v>-69.232231830937522</v>
      </c>
      <c r="M22" s="5">
        <f>-N(-10744.72)</f>
        <v>10744.72</v>
      </c>
      <c r="N22" s="30">
        <f t="shared" si="17"/>
        <v>0</v>
      </c>
      <c r="O22" s="30">
        <f t="shared" si="12"/>
        <v>10744.72</v>
      </c>
      <c r="P22" s="30"/>
      <c r="Q22" s="30">
        <f t="shared" si="13"/>
        <v>0</v>
      </c>
      <c r="R22" s="32">
        <f>-N(-34922)</f>
        <v>34922</v>
      </c>
      <c r="S22" s="33">
        <f t="shared" si="14"/>
        <v>-24177.279999999999</v>
      </c>
      <c r="T22" s="34"/>
      <c r="U22" s="34">
        <f t="shared" si="15"/>
        <v>-69.232231830937522</v>
      </c>
    </row>
    <row r="23" spans="1:21" hidden="1" outlineLevel="2">
      <c r="A23" s="22"/>
      <c r="B23" s="28">
        <v>3235</v>
      </c>
      <c r="C23" s="29" t="s">
        <v>68</v>
      </c>
      <c r="D23" s="5">
        <f>-N(0)</f>
        <v>0</v>
      </c>
      <c r="E23" s="30">
        <f t="shared" si="16"/>
        <v>0</v>
      </c>
      <c r="F23" s="30">
        <f t="shared" si="8"/>
        <v>0</v>
      </c>
      <c r="G23" s="30"/>
      <c r="H23" s="31">
        <f t="shared" si="9"/>
        <v>0</v>
      </c>
      <c r="I23" s="32">
        <f>-N(-10360)</f>
        <v>10360</v>
      </c>
      <c r="J23" s="30">
        <f t="shared" si="10"/>
        <v>-10360</v>
      </c>
      <c r="K23" s="30"/>
      <c r="L23" s="30">
        <f t="shared" si="11"/>
        <v>-100</v>
      </c>
      <c r="M23" s="5">
        <f>-N(0)</f>
        <v>0</v>
      </c>
      <c r="N23" s="30">
        <f t="shared" si="17"/>
        <v>0</v>
      </c>
      <c r="O23" s="30">
        <f t="shared" si="12"/>
        <v>0</v>
      </c>
      <c r="P23" s="30"/>
      <c r="Q23" s="30">
        <f t="shared" si="13"/>
        <v>0</v>
      </c>
      <c r="R23" s="32">
        <f>-N(-10360)</f>
        <v>10360</v>
      </c>
      <c r="S23" s="33">
        <f t="shared" si="14"/>
        <v>-10360</v>
      </c>
      <c r="T23" s="34"/>
      <c r="U23" s="34">
        <f t="shared" si="15"/>
        <v>-100</v>
      </c>
    </row>
    <row r="24" spans="1:21" hidden="1" outlineLevel="2">
      <c r="A24" s="22"/>
      <c r="B24" s="28">
        <v>3238</v>
      </c>
      <c r="C24" s="29" t="s">
        <v>69</v>
      </c>
      <c r="D24" s="5">
        <f>-N(-2361092.9)</f>
        <v>2361092.9</v>
      </c>
      <c r="E24" s="30">
        <f>-N(-1945000)</f>
        <v>1945000</v>
      </c>
      <c r="F24" s="30">
        <f t="shared" si="8"/>
        <v>416092.89999999991</v>
      </c>
      <c r="G24" s="30"/>
      <c r="H24" s="31">
        <f t="shared" si="9"/>
        <v>21.392951156812334</v>
      </c>
      <c r="I24" s="32">
        <f>-N(-2338213.17)</f>
        <v>2338213.17</v>
      </c>
      <c r="J24" s="30">
        <f t="shared" si="10"/>
        <v>22879.729999999981</v>
      </c>
      <c r="K24" s="30"/>
      <c r="L24" s="30">
        <f t="shared" si="11"/>
        <v>0.97851343468397201</v>
      </c>
      <c r="M24" s="5">
        <f>-N(-2361092.9)</f>
        <v>2361092.9</v>
      </c>
      <c r="N24" s="30">
        <f>-N(-1945000)</f>
        <v>1945000</v>
      </c>
      <c r="O24" s="30">
        <f t="shared" si="12"/>
        <v>416092.89999999991</v>
      </c>
      <c r="P24" s="30"/>
      <c r="Q24" s="30">
        <f t="shared" si="13"/>
        <v>21.392951156812334</v>
      </c>
      <c r="R24" s="32">
        <f>-N(-2338213.17)</f>
        <v>2338213.17</v>
      </c>
      <c r="S24" s="33">
        <f t="shared" si="14"/>
        <v>22879.729999999981</v>
      </c>
      <c r="T24" s="34"/>
      <c r="U24" s="34">
        <f t="shared" si="15"/>
        <v>0.97851343468397201</v>
      </c>
    </row>
    <row r="25" spans="1:21" hidden="1" outlineLevel="1">
      <c r="A25" s="22"/>
      <c r="B25" s="35" t="str">
        <f>"    "&amp;"Gaver"</f>
        <v xml:space="preserve">    Gaver</v>
      </c>
      <c r="C25" s="36"/>
      <c r="D25" s="37">
        <f>SUM(D21:D24)</f>
        <v>2371837.62</v>
      </c>
      <c r="E25" s="33">
        <f>SUM(E21:E24)</f>
        <v>1945000</v>
      </c>
      <c r="F25" s="33">
        <f t="shared" si="8"/>
        <v>426837.62000000011</v>
      </c>
      <c r="G25" s="33"/>
      <c r="H25" s="38">
        <f t="shared" si="9"/>
        <v>21.945378920308492</v>
      </c>
      <c r="I25" s="39">
        <f>SUM(I21:I24)</f>
        <v>2392795.17</v>
      </c>
      <c r="J25" s="33">
        <f t="shared" si="10"/>
        <v>-20957.549999999814</v>
      </c>
      <c r="K25" s="33"/>
      <c r="L25" s="40">
        <f t="shared" si="11"/>
        <v>-0.87586059445279696</v>
      </c>
      <c r="M25" s="37">
        <f>SUM(M21:M24)</f>
        <v>2371837.62</v>
      </c>
      <c r="N25" s="33">
        <f>SUM(N21:N24)</f>
        <v>1945000</v>
      </c>
      <c r="O25" s="33">
        <f t="shared" si="12"/>
        <v>426837.62000000011</v>
      </c>
      <c r="P25" s="33"/>
      <c r="Q25" s="33">
        <f t="shared" si="13"/>
        <v>21.945378920308492</v>
      </c>
      <c r="R25" s="39">
        <f>SUM(R21:R24)</f>
        <v>2392795.17</v>
      </c>
      <c r="S25" s="33">
        <f t="shared" si="14"/>
        <v>-20957.549999999814</v>
      </c>
      <c r="T25" s="34"/>
      <c r="U25" s="34">
        <f t="shared" si="15"/>
        <v>-0.87586059445279696</v>
      </c>
    </row>
    <row r="26" spans="1:21" collapsed="1">
      <c r="A26" s="22"/>
      <c r="B26" s="41" t="s">
        <v>70</v>
      </c>
      <c r="C26" s="42"/>
      <c r="D26" s="43">
        <f>SUM(D25)</f>
        <v>2371837.62</v>
      </c>
      <c r="E26" s="44">
        <f>SUM(E25)</f>
        <v>1945000</v>
      </c>
      <c r="F26" s="44">
        <f t="shared" si="8"/>
        <v>426837.62000000011</v>
      </c>
      <c r="G26" s="44"/>
      <c r="H26" s="45">
        <f t="shared" si="9"/>
        <v>21.945378920308492</v>
      </c>
      <c r="I26" s="46">
        <f>SUM(I25)</f>
        <v>2392795.17</v>
      </c>
      <c r="J26" s="44">
        <f t="shared" si="10"/>
        <v>-20957.549999999814</v>
      </c>
      <c r="K26" s="44"/>
      <c r="L26" s="44">
        <f t="shared" si="11"/>
        <v>-0.87586059445279696</v>
      </c>
      <c r="M26" s="43">
        <f>SUM(M25)</f>
        <v>2371837.62</v>
      </c>
      <c r="N26" s="44">
        <f>SUM(N25)</f>
        <v>1945000</v>
      </c>
      <c r="O26" s="44">
        <f t="shared" si="12"/>
        <v>426837.62000000011</v>
      </c>
      <c r="P26" s="44"/>
      <c r="Q26" s="44">
        <f t="shared" si="13"/>
        <v>21.945378920308492</v>
      </c>
      <c r="R26" s="46">
        <f>SUM(R25)</f>
        <v>2392795.17</v>
      </c>
      <c r="S26" s="44">
        <f t="shared" si="14"/>
        <v>-20957.549999999814</v>
      </c>
      <c r="T26" s="47"/>
      <c r="U26" s="47">
        <f t="shared" si="15"/>
        <v>-0.87586059445279696</v>
      </c>
    </row>
    <row r="27" spans="1:21" hidden="1" outlineLevel="2">
      <c r="A27" s="22"/>
      <c r="B27" s="28">
        <v>3225</v>
      </c>
      <c r="C27" s="29" t="s">
        <v>71</v>
      </c>
      <c r="D27" s="5">
        <f>-N(-140735)</f>
        <v>140735</v>
      </c>
      <c r="E27" s="30">
        <f>-N(-292000)</f>
        <v>292000</v>
      </c>
      <c r="F27" s="30">
        <f t="shared" si="8"/>
        <v>-151265</v>
      </c>
      <c r="G27" s="30"/>
      <c r="H27" s="31">
        <f t="shared" si="9"/>
        <v>-51.803082191780824</v>
      </c>
      <c r="I27" s="32">
        <f>-N(-120000)</f>
        <v>120000</v>
      </c>
      <c r="J27" s="30">
        <f t="shared" si="10"/>
        <v>20735</v>
      </c>
      <c r="K27" s="30"/>
      <c r="L27" s="30">
        <f t="shared" si="11"/>
        <v>17.279166666666665</v>
      </c>
      <c r="M27" s="5">
        <f>-N(-140735)</f>
        <v>140735</v>
      </c>
      <c r="N27" s="30">
        <f>-N(-292000)</f>
        <v>292000</v>
      </c>
      <c r="O27" s="30">
        <f t="shared" si="12"/>
        <v>-151265</v>
      </c>
      <c r="P27" s="30"/>
      <c r="Q27" s="30">
        <f t="shared" si="13"/>
        <v>-51.803082191780824</v>
      </c>
      <c r="R27" s="32">
        <f>-N(-120000)</f>
        <v>120000</v>
      </c>
      <c r="S27" s="33">
        <f t="shared" si="14"/>
        <v>20735</v>
      </c>
      <c r="T27" s="34"/>
      <c r="U27" s="34">
        <f t="shared" si="15"/>
        <v>17.279166666666665</v>
      </c>
    </row>
    <row r="28" spans="1:21" hidden="1" outlineLevel="2">
      <c r="A28" s="22"/>
      <c r="B28" s="28">
        <v>3410</v>
      </c>
      <c r="C28" s="29" t="s">
        <v>22</v>
      </c>
      <c r="D28" s="5">
        <f>-N(-3077286.53)</f>
        <v>3077286.53</v>
      </c>
      <c r="E28" s="30">
        <f>-N(-3900000)</f>
        <v>3900000</v>
      </c>
      <c r="F28" s="30">
        <f t="shared" si="8"/>
        <v>-822713.4700000002</v>
      </c>
      <c r="G28" s="30"/>
      <c r="H28" s="31">
        <f t="shared" si="9"/>
        <v>-21.095217179487182</v>
      </c>
      <c r="I28" s="32">
        <f>-N(-4181035)</f>
        <v>4181035</v>
      </c>
      <c r="J28" s="30">
        <f t="shared" si="10"/>
        <v>-1103748.4700000002</v>
      </c>
      <c r="K28" s="30"/>
      <c r="L28" s="30">
        <f t="shared" si="11"/>
        <v>-26.398929212503607</v>
      </c>
      <c r="M28" s="5">
        <f>-N(-3077286.53)</f>
        <v>3077286.53</v>
      </c>
      <c r="N28" s="30">
        <f>-N(-3900000)</f>
        <v>3900000</v>
      </c>
      <c r="O28" s="30">
        <f t="shared" si="12"/>
        <v>-822713.4700000002</v>
      </c>
      <c r="P28" s="30"/>
      <c r="Q28" s="30">
        <f t="shared" si="13"/>
        <v>-21.095217179487182</v>
      </c>
      <c r="R28" s="32">
        <f>-N(-4181035)</f>
        <v>4181035</v>
      </c>
      <c r="S28" s="33">
        <f t="shared" si="14"/>
        <v>-1103748.4700000002</v>
      </c>
      <c r="T28" s="34"/>
      <c r="U28" s="34">
        <f t="shared" si="15"/>
        <v>-26.398929212503607</v>
      </c>
    </row>
    <row r="29" spans="1:21" hidden="1" outlineLevel="2">
      <c r="A29" s="22"/>
      <c r="B29" s="28">
        <v>3411</v>
      </c>
      <c r="C29" s="29" t="s">
        <v>23</v>
      </c>
      <c r="D29" s="5">
        <f>-N(-215410.81)</f>
        <v>215410.81</v>
      </c>
      <c r="E29" s="30">
        <f>-N(0)</f>
        <v>0</v>
      </c>
      <c r="F29" s="30">
        <f t="shared" si="8"/>
        <v>215410.81</v>
      </c>
      <c r="G29" s="30"/>
      <c r="H29" s="31">
        <f t="shared" si="9"/>
        <v>0</v>
      </c>
      <c r="I29" s="32">
        <f>-N(0)</f>
        <v>0</v>
      </c>
      <c r="J29" s="30">
        <f t="shared" si="10"/>
        <v>215410.81</v>
      </c>
      <c r="K29" s="30"/>
      <c r="L29" s="30">
        <f t="shared" si="11"/>
        <v>0</v>
      </c>
      <c r="M29" s="5">
        <f>-N(-215410.81)</f>
        <v>215410.81</v>
      </c>
      <c r="N29" s="30">
        <f>-N(0)</f>
        <v>0</v>
      </c>
      <c r="O29" s="30">
        <f t="shared" si="12"/>
        <v>215410.81</v>
      </c>
      <c r="P29" s="30"/>
      <c r="Q29" s="30">
        <f t="shared" si="13"/>
        <v>0</v>
      </c>
      <c r="R29" s="32">
        <f>-N(0)</f>
        <v>0</v>
      </c>
      <c r="S29" s="33">
        <f t="shared" si="14"/>
        <v>215410.81</v>
      </c>
      <c r="T29" s="34"/>
      <c r="U29" s="34">
        <f t="shared" si="15"/>
        <v>0</v>
      </c>
    </row>
    <row r="30" spans="1:21" hidden="1" outlineLevel="2">
      <c r="A30" s="22"/>
      <c r="B30" s="28">
        <v>3412</v>
      </c>
      <c r="C30" s="29" t="s">
        <v>24</v>
      </c>
      <c r="D30" s="5">
        <f>-N(669683)</f>
        <v>-669683</v>
      </c>
      <c r="E30" s="30">
        <f>-N(0)</f>
        <v>0</v>
      </c>
      <c r="F30" s="30">
        <f t="shared" si="8"/>
        <v>-669683</v>
      </c>
      <c r="G30" s="30"/>
      <c r="H30" s="31">
        <f t="shared" si="9"/>
        <v>0</v>
      </c>
      <c r="I30" s="32">
        <f>-N(0)</f>
        <v>0</v>
      </c>
      <c r="J30" s="30">
        <f t="shared" si="10"/>
        <v>-669683</v>
      </c>
      <c r="K30" s="30"/>
      <c r="L30" s="30">
        <f t="shared" si="11"/>
        <v>0</v>
      </c>
      <c r="M30" s="5">
        <f>-N(669683)</f>
        <v>-669683</v>
      </c>
      <c r="N30" s="30">
        <f>-N(0)</f>
        <v>0</v>
      </c>
      <c r="O30" s="30">
        <f t="shared" si="12"/>
        <v>-669683</v>
      </c>
      <c r="P30" s="30"/>
      <c r="Q30" s="30">
        <f t="shared" si="13"/>
        <v>0</v>
      </c>
      <c r="R30" s="32">
        <f>-N(0)</f>
        <v>0</v>
      </c>
      <c r="S30" s="33">
        <f t="shared" si="14"/>
        <v>-669683</v>
      </c>
      <c r="T30" s="34"/>
      <c r="U30" s="34">
        <f t="shared" si="15"/>
        <v>0</v>
      </c>
    </row>
    <row r="31" spans="1:21" hidden="1" outlineLevel="2">
      <c r="A31" s="22"/>
      <c r="B31" s="28">
        <v>3450</v>
      </c>
      <c r="C31" s="29" t="s">
        <v>72</v>
      </c>
      <c r="D31" s="5">
        <f>-N(-11314425)</f>
        <v>11314425</v>
      </c>
      <c r="E31" s="30">
        <f>-N(-11300000)</f>
        <v>11300000</v>
      </c>
      <c r="F31" s="30">
        <f t="shared" si="8"/>
        <v>14425</v>
      </c>
      <c r="G31" s="30"/>
      <c r="H31" s="31">
        <f t="shared" si="9"/>
        <v>0.12765486725663716</v>
      </c>
      <c r="I31" s="32">
        <f>-N(-11467241)</f>
        <v>11467241</v>
      </c>
      <c r="J31" s="30">
        <f t="shared" si="10"/>
        <v>-152816</v>
      </c>
      <c r="K31" s="30"/>
      <c r="L31" s="30">
        <f t="shared" si="11"/>
        <v>-1.3326309266544585</v>
      </c>
      <c r="M31" s="5">
        <f>-N(-11314425)</f>
        <v>11314425</v>
      </c>
      <c r="N31" s="30">
        <f>-N(-11300000)</f>
        <v>11300000</v>
      </c>
      <c r="O31" s="30">
        <f t="shared" si="12"/>
        <v>14425</v>
      </c>
      <c r="P31" s="30"/>
      <c r="Q31" s="30">
        <f t="shared" si="13"/>
        <v>0.12765486725663716</v>
      </c>
      <c r="R31" s="32">
        <f>-N(-11467241)</f>
        <v>11467241</v>
      </c>
      <c r="S31" s="33">
        <f t="shared" si="14"/>
        <v>-152816</v>
      </c>
      <c r="T31" s="34"/>
      <c r="U31" s="34">
        <f t="shared" si="15"/>
        <v>-1.3326309266544585</v>
      </c>
    </row>
    <row r="32" spans="1:21" hidden="1" outlineLevel="1">
      <c r="A32" s="22"/>
      <c r="B32" s="35" t="str">
        <f>"    "&amp;"Offentlige tilskudd og refusjoner"</f>
        <v xml:space="preserve">    Offentlige tilskudd og refusjoner</v>
      </c>
      <c r="C32" s="36"/>
      <c r="D32" s="37">
        <f>SUM(D27:D31)</f>
        <v>14078174.34</v>
      </c>
      <c r="E32" s="33">
        <f>SUM(E27:E31)</f>
        <v>15492000</v>
      </c>
      <c r="F32" s="33">
        <f t="shared" si="8"/>
        <v>-1413825.6600000001</v>
      </c>
      <c r="G32" s="33"/>
      <c r="H32" s="38">
        <f t="shared" si="9"/>
        <v>-9.1261661502711071</v>
      </c>
      <c r="I32" s="39">
        <f>SUM(I27:I31)</f>
        <v>15768276</v>
      </c>
      <c r="J32" s="33">
        <f t="shared" si="10"/>
        <v>-1690101.6600000001</v>
      </c>
      <c r="K32" s="33"/>
      <c r="L32" s="40">
        <f t="shared" si="11"/>
        <v>-10.718366801798751</v>
      </c>
      <c r="M32" s="37">
        <f>SUM(M27:M31)</f>
        <v>14078174.34</v>
      </c>
      <c r="N32" s="33">
        <f>SUM(N27:N31)</f>
        <v>15492000</v>
      </c>
      <c r="O32" s="33">
        <f t="shared" si="12"/>
        <v>-1413825.6600000001</v>
      </c>
      <c r="P32" s="33"/>
      <c r="Q32" s="33">
        <f t="shared" si="13"/>
        <v>-9.1261661502711071</v>
      </c>
      <c r="R32" s="39">
        <f>SUM(R27:R31)</f>
        <v>15768276</v>
      </c>
      <c r="S32" s="33">
        <f t="shared" si="14"/>
        <v>-1690101.6600000001</v>
      </c>
      <c r="T32" s="34"/>
      <c r="U32" s="34">
        <f t="shared" si="15"/>
        <v>-10.718366801798751</v>
      </c>
    </row>
    <row r="33" spans="1:21" hidden="1" outlineLevel="2">
      <c r="A33" s="22"/>
      <c r="B33" s="28">
        <v>3210</v>
      </c>
      <c r="C33" s="29" t="s">
        <v>27</v>
      </c>
      <c r="D33" s="5">
        <f>-N(-11146240)</f>
        <v>11146240</v>
      </c>
      <c r="E33" s="30">
        <f>-N(-13965106)</f>
        <v>13965106</v>
      </c>
      <c r="F33" s="30">
        <f t="shared" si="8"/>
        <v>-2818866</v>
      </c>
      <c r="G33" s="30"/>
      <c r="H33" s="31">
        <f t="shared" si="9"/>
        <v>-20.185066980515579</v>
      </c>
      <c r="I33" s="32">
        <f>-N(-12409622.06)</f>
        <v>12409622.060000001</v>
      </c>
      <c r="J33" s="30">
        <f t="shared" si="10"/>
        <v>-1263382.0600000005</v>
      </c>
      <c r="K33" s="30"/>
      <c r="L33" s="30">
        <f t="shared" si="11"/>
        <v>-10.180665083042831</v>
      </c>
      <c r="M33" s="5">
        <f>-N(-11146240)</f>
        <v>11146240</v>
      </c>
      <c r="N33" s="30">
        <f>-N(-13965106)</f>
        <v>13965106</v>
      </c>
      <c r="O33" s="30">
        <f t="shared" si="12"/>
        <v>-2818866</v>
      </c>
      <c r="P33" s="30"/>
      <c r="Q33" s="30">
        <f t="shared" si="13"/>
        <v>-20.185066980515579</v>
      </c>
      <c r="R33" s="32">
        <f>-N(-12409622.06)</f>
        <v>12409622.060000001</v>
      </c>
      <c r="S33" s="33">
        <f t="shared" si="14"/>
        <v>-1263382.0600000005</v>
      </c>
      <c r="T33" s="34"/>
      <c r="U33" s="34">
        <f t="shared" si="15"/>
        <v>-10.180665083042831</v>
      </c>
    </row>
    <row r="34" spans="1:21" hidden="1" outlineLevel="2">
      <c r="A34" s="22"/>
      <c r="B34" s="28">
        <v>3212</v>
      </c>
      <c r="C34" s="29" t="s">
        <v>28</v>
      </c>
      <c r="D34" s="5">
        <f>-N(-2786560)</f>
        <v>2786560</v>
      </c>
      <c r="E34" s="30">
        <f>-N(0)</f>
        <v>0</v>
      </c>
      <c r="F34" s="30">
        <f t="shared" si="8"/>
        <v>2786560</v>
      </c>
      <c r="G34" s="30"/>
      <c r="H34" s="31">
        <f t="shared" si="9"/>
        <v>0</v>
      </c>
      <c r="I34" s="32">
        <f>-N(0)</f>
        <v>0</v>
      </c>
      <c r="J34" s="30">
        <f t="shared" si="10"/>
        <v>2786560</v>
      </c>
      <c r="K34" s="30"/>
      <c r="L34" s="30">
        <f t="shared" si="11"/>
        <v>0</v>
      </c>
      <c r="M34" s="5">
        <f>-N(-2786560)</f>
        <v>2786560</v>
      </c>
      <c r="N34" s="30">
        <f>-N(0)</f>
        <v>0</v>
      </c>
      <c r="O34" s="30">
        <f t="shared" si="12"/>
        <v>2786560</v>
      </c>
      <c r="P34" s="30"/>
      <c r="Q34" s="30">
        <f t="shared" si="13"/>
        <v>0</v>
      </c>
      <c r="R34" s="32">
        <f>-N(0)</f>
        <v>0</v>
      </c>
      <c r="S34" s="33">
        <f t="shared" si="14"/>
        <v>2786560</v>
      </c>
      <c r="T34" s="34"/>
      <c r="U34" s="34">
        <f t="shared" si="15"/>
        <v>0</v>
      </c>
    </row>
    <row r="35" spans="1:21" hidden="1" outlineLevel="2">
      <c r="A35" s="22"/>
      <c r="B35" s="28">
        <v>3215</v>
      </c>
      <c r="C35" s="29" t="s">
        <v>73</v>
      </c>
      <c r="D35" s="5">
        <f>-N(0)</f>
        <v>0</v>
      </c>
      <c r="E35" s="30">
        <f>-N(115)</f>
        <v>-115</v>
      </c>
      <c r="F35" s="30">
        <f t="shared" si="8"/>
        <v>115</v>
      </c>
      <c r="G35" s="30"/>
      <c r="H35" s="31">
        <f t="shared" si="9"/>
        <v>-100</v>
      </c>
      <c r="I35" s="32">
        <f>-N(0)</f>
        <v>0</v>
      </c>
      <c r="J35" s="30">
        <f t="shared" si="10"/>
        <v>0</v>
      </c>
      <c r="K35" s="30"/>
      <c r="L35" s="30">
        <f t="shared" si="11"/>
        <v>0</v>
      </c>
      <c r="M35" s="5">
        <f>-N(0)</f>
        <v>0</v>
      </c>
      <c r="N35" s="30">
        <f>-N(115)</f>
        <v>-115</v>
      </c>
      <c r="O35" s="30">
        <f t="shared" si="12"/>
        <v>115</v>
      </c>
      <c r="P35" s="30"/>
      <c r="Q35" s="30">
        <f t="shared" si="13"/>
        <v>-100</v>
      </c>
      <c r="R35" s="32">
        <f>-N(0)</f>
        <v>0</v>
      </c>
      <c r="S35" s="33">
        <f t="shared" si="14"/>
        <v>0</v>
      </c>
      <c r="T35" s="34"/>
      <c r="U35" s="34">
        <f t="shared" si="15"/>
        <v>0</v>
      </c>
    </row>
    <row r="36" spans="1:21" hidden="1" outlineLevel="2">
      <c r="A36" s="22"/>
      <c r="B36" s="28">
        <v>3230</v>
      </c>
      <c r="C36" s="29" t="s">
        <v>74</v>
      </c>
      <c r="D36" s="5">
        <f>-N(-8721552.21)</f>
        <v>8721552.2100000009</v>
      </c>
      <c r="E36" s="30">
        <f>-N(-9612640)</f>
        <v>9612640</v>
      </c>
      <c r="F36" s="30">
        <f t="shared" si="8"/>
        <v>-891087.78999999911</v>
      </c>
      <c r="G36" s="30"/>
      <c r="H36" s="31">
        <f t="shared" si="9"/>
        <v>-9.2699590331064012</v>
      </c>
      <c r="I36" s="32">
        <f>-N(-9060688.59)</f>
        <v>9060688.5899999999</v>
      </c>
      <c r="J36" s="30">
        <f t="shared" si="10"/>
        <v>-339136.37999999896</v>
      </c>
      <c r="K36" s="30"/>
      <c r="L36" s="30">
        <f t="shared" si="11"/>
        <v>-3.7429426762806219</v>
      </c>
      <c r="M36" s="5">
        <f>-N(-8721552.21)</f>
        <v>8721552.2100000009</v>
      </c>
      <c r="N36" s="30">
        <f>-N(-9612640)</f>
        <v>9612640</v>
      </c>
      <c r="O36" s="30">
        <f t="shared" si="12"/>
        <v>-891087.78999999911</v>
      </c>
      <c r="P36" s="30"/>
      <c r="Q36" s="30">
        <f t="shared" si="13"/>
        <v>-9.2699590331064012</v>
      </c>
      <c r="R36" s="32">
        <f>-N(-9060688.59)</f>
        <v>9060688.5899999999</v>
      </c>
      <c r="S36" s="33">
        <f t="shared" si="14"/>
        <v>-339136.37999999896</v>
      </c>
      <c r="T36" s="34"/>
      <c r="U36" s="34">
        <f t="shared" si="15"/>
        <v>-3.7429426762806219</v>
      </c>
    </row>
    <row r="37" spans="1:21" hidden="1" outlineLevel="1">
      <c r="A37" s="22"/>
      <c r="B37" s="35" t="str">
        <f>"    "&amp;"Tilskudd frikirkens menigheter"</f>
        <v xml:space="preserve">    Tilskudd frikirkens menigheter</v>
      </c>
      <c r="C37" s="36"/>
      <c r="D37" s="37">
        <f>SUM(D33:D36)</f>
        <v>22654352.210000001</v>
      </c>
      <c r="E37" s="33">
        <f>SUM(E33:E36)</f>
        <v>23577631</v>
      </c>
      <c r="F37" s="33">
        <f t="shared" si="8"/>
        <v>-923278.78999999911</v>
      </c>
      <c r="G37" s="33"/>
      <c r="H37" s="38">
        <f t="shared" si="9"/>
        <v>-3.9159099147832075</v>
      </c>
      <c r="I37" s="39">
        <f>SUM(I33:I36)</f>
        <v>21470310.649999999</v>
      </c>
      <c r="J37" s="33">
        <f t="shared" si="10"/>
        <v>1184041.5600000024</v>
      </c>
      <c r="K37" s="33"/>
      <c r="L37" s="40">
        <f t="shared" si="11"/>
        <v>5.5147854136894034</v>
      </c>
      <c r="M37" s="37">
        <f>SUM(M33:M36)</f>
        <v>22654352.210000001</v>
      </c>
      <c r="N37" s="33">
        <f>SUM(N33:N36)</f>
        <v>23577631</v>
      </c>
      <c r="O37" s="33">
        <f t="shared" si="12"/>
        <v>-923278.78999999911</v>
      </c>
      <c r="P37" s="33"/>
      <c r="Q37" s="33">
        <f t="shared" si="13"/>
        <v>-3.9159099147832075</v>
      </c>
      <c r="R37" s="39">
        <f>SUM(R33:R36)</f>
        <v>21470310.649999999</v>
      </c>
      <c r="S37" s="33">
        <f t="shared" si="14"/>
        <v>1184041.5600000024</v>
      </c>
      <c r="T37" s="34"/>
      <c r="U37" s="34">
        <f t="shared" si="15"/>
        <v>5.5147854136894034</v>
      </c>
    </row>
    <row r="38" spans="1:21" hidden="1" outlineLevel="2">
      <c r="A38" s="22"/>
      <c r="B38" s="28">
        <v>3211</v>
      </c>
      <c r="C38" s="29" t="s">
        <v>76</v>
      </c>
      <c r="D38" s="5">
        <f>-N(-125000)</f>
        <v>125000</v>
      </c>
      <c r="E38" s="30">
        <f>-N(0)</f>
        <v>0</v>
      </c>
      <c r="F38" s="30">
        <f t="shared" si="8"/>
        <v>125000</v>
      </c>
      <c r="G38" s="30"/>
      <c r="H38" s="31">
        <f t="shared" si="9"/>
        <v>0</v>
      </c>
      <c r="I38" s="32">
        <f>-N(0)</f>
        <v>0</v>
      </c>
      <c r="J38" s="30">
        <f t="shared" si="10"/>
        <v>125000</v>
      </c>
      <c r="K38" s="30"/>
      <c r="L38" s="30">
        <f t="shared" si="11"/>
        <v>0</v>
      </c>
      <c r="M38" s="5">
        <f>-N(-125000)</f>
        <v>125000</v>
      </c>
      <c r="N38" s="30">
        <f>-N(0)</f>
        <v>0</v>
      </c>
      <c r="O38" s="30">
        <f t="shared" si="12"/>
        <v>125000</v>
      </c>
      <c r="P38" s="30"/>
      <c r="Q38" s="30">
        <f t="shared" si="13"/>
        <v>0</v>
      </c>
      <c r="R38" s="32">
        <f>-N(0)</f>
        <v>0</v>
      </c>
      <c r="S38" s="33">
        <f t="shared" si="14"/>
        <v>125000</v>
      </c>
      <c r="T38" s="34"/>
      <c r="U38" s="34">
        <f t="shared" si="15"/>
        <v>0</v>
      </c>
    </row>
    <row r="39" spans="1:21" hidden="1" outlineLevel="2">
      <c r="A39" s="22"/>
      <c r="B39" s="28">
        <v>3455</v>
      </c>
      <c r="C39" s="29" t="s">
        <v>77</v>
      </c>
      <c r="D39" s="5">
        <f>-N(-1179831)</f>
        <v>1179831</v>
      </c>
      <c r="E39" s="30">
        <f>-N(-1167100)</f>
        <v>1167100</v>
      </c>
      <c r="F39" s="30">
        <f t="shared" si="8"/>
        <v>12731</v>
      </c>
      <c r="G39" s="30"/>
      <c r="H39" s="31">
        <f t="shared" si="9"/>
        <v>1.0908234084482906</v>
      </c>
      <c r="I39" s="32">
        <f>-N(-1156482)</f>
        <v>1156482</v>
      </c>
      <c r="J39" s="30">
        <f t="shared" si="10"/>
        <v>23349</v>
      </c>
      <c r="K39" s="30"/>
      <c r="L39" s="30">
        <f t="shared" si="11"/>
        <v>2.018967869798233</v>
      </c>
      <c r="M39" s="5">
        <f>-N(-1179831)</f>
        <v>1179831</v>
      </c>
      <c r="N39" s="30">
        <f>-N(-1167100)</f>
        <v>1167100</v>
      </c>
      <c r="O39" s="30">
        <f t="shared" si="12"/>
        <v>12731</v>
      </c>
      <c r="P39" s="30"/>
      <c r="Q39" s="30">
        <f t="shared" si="13"/>
        <v>1.0908234084482906</v>
      </c>
      <c r="R39" s="32">
        <f>-N(-1156482)</f>
        <v>1156482</v>
      </c>
      <c r="S39" s="33">
        <f t="shared" si="14"/>
        <v>23349</v>
      </c>
      <c r="T39" s="34"/>
      <c r="U39" s="34">
        <f t="shared" si="15"/>
        <v>2.018967869798233</v>
      </c>
    </row>
    <row r="40" spans="1:21" hidden="1" outlineLevel="2">
      <c r="A40" s="22"/>
      <c r="B40" s="28">
        <v>3600</v>
      </c>
      <c r="C40" s="29" t="s">
        <v>78</v>
      </c>
      <c r="D40" s="5">
        <f>-N(-432885.11)</f>
        <v>432885.11</v>
      </c>
      <c r="E40" s="30">
        <f>-N(-427271.87)</f>
        <v>427271.87</v>
      </c>
      <c r="F40" s="30">
        <f t="shared" si="8"/>
        <v>5613.2399999999907</v>
      </c>
      <c r="G40" s="30"/>
      <c r="H40" s="31">
        <f t="shared" si="9"/>
        <v>1.3137396571414801</v>
      </c>
      <c r="I40" s="32">
        <f>-N(-344586.74)</f>
        <v>344586.74</v>
      </c>
      <c r="J40" s="30">
        <f t="shared" si="10"/>
        <v>88298.37</v>
      </c>
      <c r="K40" s="30"/>
      <c r="L40" s="30">
        <f t="shared" si="11"/>
        <v>25.624424781986679</v>
      </c>
      <c r="M40" s="5">
        <f>-N(-432885.11)</f>
        <v>432885.11</v>
      </c>
      <c r="N40" s="30">
        <f>-N(-427271.87)</f>
        <v>427271.87</v>
      </c>
      <c r="O40" s="30">
        <f t="shared" si="12"/>
        <v>5613.2399999999907</v>
      </c>
      <c r="P40" s="30"/>
      <c r="Q40" s="30">
        <f t="shared" si="13"/>
        <v>1.3137396571414801</v>
      </c>
      <c r="R40" s="32">
        <f>-N(-344586.74)</f>
        <v>344586.74</v>
      </c>
      <c r="S40" s="33">
        <f t="shared" si="14"/>
        <v>88298.37</v>
      </c>
      <c r="T40" s="34"/>
      <c r="U40" s="34">
        <f t="shared" si="15"/>
        <v>25.624424781986679</v>
      </c>
    </row>
    <row r="41" spans="1:21" hidden="1" outlineLevel="2">
      <c r="A41" s="22"/>
      <c r="B41" s="28">
        <v>3900</v>
      </c>
      <c r="C41" s="29" t="s">
        <v>79</v>
      </c>
      <c r="D41" s="5">
        <f>-N(-71118)</f>
        <v>71118</v>
      </c>
      <c r="E41" s="30">
        <f>-N(0)</f>
        <v>0</v>
      </c>
      <c r="F41" s="30">
        <f t="shared" si="8"/>
        <v>71118</v>
      </c>
      <c r="G41" s="30"/>
      <c r="H41" s="31">
        <f t="shared" si="9"/>
        <v>0</v>
      </c>
      <c r="I41" s="32">
        <f>-N(-188016.22)</f>
        <v>188016.22</v>
      </c>
      <c r="J41" s="30">
        <f t="shared" si="10"/>
        <v>-116898.22</v>
      </c>
      <c r="K41" s="30"/>
      <c r="L41" s="30">
        <f t="shared" si="11"/>
        <v>-62.174540047661843</v>
      </c>
      <c r="M41" s="5">
        <f>-N(-71118)</f>
        <v>71118</v>
      </c>
      <c r="N41" s="30">
        <f>-N(0)</f>
        <v>0</v>
      </c>
      <c r="O41" s="30">
        <f t="shared" si="12"/>
        <v>71118</v>
      </c>
      <c r="P41" s="30"/>
      <c r="Q41" s="30">
        <f t="shared" si="13"/>
        <v>0</v>
      </c>
      <c r="R41" s="32">
        <f>-N(-188016.22)</f>
        <v>188016.22</v>
      </c>
      <c r="S41" s="33">
        <f t="shared" si="14"/>
        <v>-116898.22</v>
      </c>
      <c r="T41" s="34"/>
      <c r="U41" s="34">
        <f t="shared" si="15"/>
        <v>-62.174540047661843</v>
      </c>
    </row>
    <row r="42" spans="1:21" hidden="1" outlineLevel="1">
      <c r="A42" s="22"/>
      <c r="B42" s="35" t="str">
        <f>"    "&amp;"Annen driftsrelatert inntekt"</f>
        <v xml:space="preserve">    Annen driftsrelatert inntekt</v>
      </c>
      <c r="C42" s="36"/>
      <c r="D42" s="37">
        <f>SUM(D38:D41)</f>
        <v>1808834.1099999999</v>
      </c>
      <c r="E42" s="33">
        <f>SUM(E38:E41)</f>
        <v>1594371.87</v>
      </c>
      <c r="F42" s="33">
        <f>D42-E42</f>
        <v>214462.23999999976</v>
      </c>
      <c r="G42" s="33"/>
      <c r="H42" s="38">
        <f>IF(E42=0,0,F42*100/E42)</f>
        <v>13.451205708991827</v>
      </c>
      <c r="I42" s="39">
        <f>SUM(I38:I41)</f>
        <v>1689084.96</v>
      </c>
      <c r="J42" s="33">
        <f>D42-I42</f>
        <v>119749.14999999991</v>
      </c>
      <c r="K42" s="33"/>
      <c r="L42" s="40">
        <f>IF(I42=0,0,J42*100/I42)</f>
        <v>7.0895871336158196</v>
      </c>
      <c r="M42" s="37">
        <f>SUM(M38:M41)</f>
        <v>1808834.1099999999</v>
      </c>
      <c r="N42" s="33">
        <f>SUM(N38:N41)</f>
        <v>1594371.87</v>
      </c>
      <c r="O42" s="33">
        <f>M42-N42</f>
        <v>214462.23999999976</v>
      </c>
      <c r="P42" s="33"/>
      <c r="Q42" s="33">
        <f>IF(N42=0,0,O42*100/N42)</f>
        <v>13.451205708991827</v>
      </c>
      <c r="R42" s="39">
        <f>SUM(R38:R41)</f>
        <v>1689084.96</v>
      </c>
      <c r="S42" s="33">
        <f>M42-R42</f>
        <v>119749.14999999991</v>
      </c>
      <c r="T42" s="34"/>
      <c r="U42" s="34">
        <f>IF(R42=0,0,S42*100/R42)</f>
        <v>7.0895871336158196</v>
      </c>
    </row>
    <row r="43" spans="1:21" collapsed="1">
      <c r="A43" s="22"/>
      <c r="B43" s="41" t="s">
        <v>80</v>
      </c>
      <c r="C43" s="42"/>
      <c r="D43" s="43">
        <f>SUM(D32,D37,D42)</f>
        <v>38541360.659999996</v>
      </c>
      <c r="E43" s="44">
        <f>SUM(E32,E37,E42)</f>
        <v>40664002.869999997</v>
      </c>
      <c r="F43" s="44">
        <f>D43-E43</f>
        <v>-2122642.2100000009</v>
      </c>
      <c r="G43" s="44"/>
      <c r="H43" s="45">
        <f>IF(E43=0,0,F43*100/E43)</f>
        <v>-5.2199539154714829</v>
      </c>
      <c r="I43" s="46">
        <f>SUM(I32,I37,I42)</f>
        <v>38927671.609999999</v>
      </c>
      <c r="J43" s="44">
        <f>D43-I43</f>
        <v>-386310.95000000298</v>
      </c>
      <c r="K43" s="44"/>
      <c r="L43" s="44">
        <f>IF(I43=0,0,J43*100/I43)</f>
        <v>-0.99238134217296692</v>
      </c>
      <c r="M43" s="43">
        <f>SUM(M32,M37,M42)</f>
        <v>38541360.659999996</v>
      </c>
      <c r="N43" s="44">
        <f>SUM(N32,N37,N42)</f>
        <v>40664002.869999997</v>
      </c>
      <c r="O43" s="44">
        <f>M43-N43</f>
        <v>-2122642.2100000009</v>
      </c>
      <c r="P43" s="44"/>
      <c r="Q43" s="44">
        <f>IF(N43=0,0,O43*100/N43)</f>
        <v>-5.2199539154714829</v>
      </c>
      <c r="R43" s="46">
        <f>SUM(R32,R37,R42)</f>
        <v>38927671.609999999</v>
      </c>
      <c r="S43" s="44">
        <f>M43-R43</f>
        <v>-386310.95000000298</v>
      </c>
      <c r="T43" s="47"/>
      <c r="U43" s="47">
        <f>IF(R43=0,0,S43*100/R43)</f>
        <v>-0.99238134217296692</v>
      </c>
    </row>
    <row r="44" spans="1:21">
      <c r="A44" s="22"/>
      <c r="B44" s="48" t="s">
        <v>10</v>
      </c>
      <c r="C44" s="49"/>
      <c r="D44" s="50">
        <f>SUM(D20,D26,D43)</f>
        <v>40970662.779999994</v>
      </c>
      <c r="E44" s="51">
        <f>SUM(E20,E26,E43)</f>
        <v>43133002.869999997</v>
      </c>
      <c r="F44" s="51">
        <f>D44-E44</f>
        <v>-2162340.0900000036</v>
      </c>
      <c r="G44" s="51"/>
      <c r="H44" s="52">
        <f>IF(E44=0,0,F44*100/E44)</f>
        <v>-5.0131916308195672</v>
      </c>
      <c r="I44" s="53">
        <f>SUM(I20,I26,I43)</f>
        <v>43991774.519999996</v>
      </c>
      <c r="J44" s="51">
        <f>D44-I44</f>
        <v>-3021111.7400000021</v>
      </c>
      <c r="K44" s="51"/>
      <c r="L44" s="51">
        <f>IF(I44=0,0,J44*100/I44)</f>
        <v>-6.8674468647008391</v>
      </c>
      <c r="M44" s="50">
        <f>SUM(M20,M26,M43)</f>
        <v>40970662.779999994</v>
      </c>
      <c r="N44" s="51">
        <f>SUM(N20,N26,N43)</f>
        <v>43133002.869999997</v>
      </c>
      <c r="O44" s="51">
        <f>M44-N44</f>
        <v>-2162340.0900000036</v>
      </c>
      <c r="P44" s="51"/>
      <c r="Q44" s="51">
        <f>IF(N44=0,0,O44*100/N44)</f>
        <v>-5.0131916308195672</v>
      </c>
      <c r="R44" s="53">
        <f>SUM(R20,R26,R43)</f>
        <v>43991774.519999996</v>
      </c>
      <c r="S44" s="51">
        <f>M44-R44</f>
        <v>-3021111.7400000021</v>
      </c>
      <c r="T44" s="54"/>
      <c r="U44" s="54">
        <f>IF(R44=0,0,S44*100/R44)</f>
        <v>-6.8674468647008391</v>
      </c>
    </row>
    <row r="45" spans="1:21" ht="9" customHeight="1">
      <c r="A45" s="22"/>
      <c r="B45" s="23"/>
      <c r="C45" s="24"/>
      <c r="D45" s="27"/>
      <c r="H45" s="55"/>
      <c r="I45" s="56"/>
      <c r="M45" s="27"/>
      <c r="R45" s="56"/>
      <c r="T45" s="24"/>
      <c r="U45" s="24"/>
    </row>
    <row r="46" spans="1:21" hidden="1" outlineLevel="2">
      <c r="A46" s="22"/>
      <c r="B46" s="28">
        <v>4301</v>
      </c>
      <c r="C46" s="29" t="s">
        <v>81</v>
      </c>
      <c r="D46" s="5">
        <f>N(321.94)</f>
        <v>321.94</v>
      </c>
      <c r="E46" s="30">
        <f>N(0)</f>
        <v>0</v>
      </c>
      <c r="F46" s="30">
        <f t="shared" ref="F46:F109" si="18">-D46+E46</f>
        <v>-321.94</v>
      </c>
      <c r="G46" s="30"/>
      <c r="H46" s="31">
        <f t="shared" ref="H46:H109" si="19">IF(E46=0,0,F46*100/E46)</f>
        <v>0</v>
      </c>
      <c r="I46" s="32">
        <f>N(151500.74)</f>
        <v>151500.74</v>
      </c>
      <c r="J46" s="30">
        <f t="shared" ref="J46:J109" si="20">-D46+I46</f>
        <v>151178.79999999999</v>
      </c>
      <c r="K46" s="30"/>
      <c r="L46" s="30">
        <f t="shared" ref="L46:L109" si="21">IF(I46=0,0,J46*100/I46)</f>
        <v>99.787499387791769</v>
      </c>
      <c r="M46" s="5">
        <f>N(321.94)</f>
        <v>321.94</v>
      </c>
      <c r="N46" s="30">
        <f>N(0)</f>
        <v>0</v>
      </c>
      <c r="O46" s="30">
        <f t="shared" ref="O46:O109" si="22">-M46+N46</f>
        <v>-321.94</v>
      </c>
      <c r="P46" s="30"/>
      <c r="Q46" s="30">
        <f t="shared" ref="Q46:Q109" si="23">IF(N46=0,0,O46*100/N46)</f>
        <v>0</v>
      </c>
      <c r="R46" s="32">
        <f>N(151500.74)</f>
        <v>151500.74</v>
      </c>
      <c r="S46" s="33">
        <f t="shared" ref="S46:S109" si="24">-M46+R46</f>
        <v>151178.79999999999</v>
      </c>
      <c r="T46" s="34"/>
      <c r="U46" s="34">
        <f t="shared" ref="U46:U109" si="25">IF(R46=0,0,S46*100/R46)</f>
        <v>99.787499387791769</v>
      </c>
    </row>
    <row r="47" spans="1:21" hidden="1" outlineLevel="2">
      <c r="A47" s="22"/>
      <c r="B47" s="28">
        <v>4305</v>
      </c>
      <c r="C47" s="29" t="s">
        <v>82</v>
      </c>
      <c r="D47" s="5">
        <f>N(24682.16)</f>
        <v>24682.16</v>
      </c>
      <c r="E47" s="30">
        <f>N(120000)</f>
        <v>120000</v>
      </c>
      <c r="F47" s="30">
        <f t="shared" si="18"/>
        <v>95317.84</v>
      </c>
      <c r="G47" s="30"/>
      <c r="H47" s="31">
        <f t="shared" si="19"/>
        <v>79.431533333333334</v>
      </c>
      <c r="I47" s="32">
        <f>N(133757.64)</f>
        <v>133757.64000000001</v>
      </c>
      <c r="J47" s="30">
        <f t="shared" si="20"/>
        <v>109075.48000000001</v>
      </c>
      <c r="K47" s="30"/>
      <c r="L47" s="30">
        <f t="shared" si="21"/>
        <v>81.5471026552203</v>
      </c>
      <c r="M47" s="5">
        <f>N(24682.16)</f>
        <v>24682.16</v>
      </c>
      <c r="N47" s="30">
        <f>N(120000)</f>
        <v>120000</v>
      </c>
      <c r="O47" s="30">
        <f t="shared" si="22"/>
        <v>95317.84</v>
      </c>
      <c r="P47" s="30"/>
      <c r="Q47" s="30">
        <f t="shared" si="23"/>
        <v>79.431533333333334</v>
      </c>
      <c r="R47" s="32">
        <f>N(133757.64)</f>
        <v>133757.64000000001</v>
      </c>
      <c r="S47" s="33">
        <f t="shared" si="24"/>
        <v>109075.48000000001</v>
      </c>
      <c r="T47" s="34"/>
      <c r="U47" s="34">
        <f t="shared" si="25"/>
        <v>81.5471026552203</v>
      </c>
    </row>
    <row r="48" spans="1:21" hidden="1" outlineLevel="2">
      <c r="A48" s="22"/>
      <c r="B48" s="28">
        <v>4309</v>
      </c>
      <c r="C48" s="29" t="s">
        <v>331</v>
      </c>
      <c r="D48" s="5">
        <f>N(0)</f>
        <v>0</v>
      </c>
      <c r="E48" s="30">
        <f>N(94999.67)</f>
        <v>94999.67</v>
      </c>
      <c r="F48" s="30">
        <f t="shared" si="18"/>
        <v>94999.67</v>
      </c>
      <c r="G48" s="30"/>
      <c r="H48" s="31">
        <f t="shared" si="19"/>
        <v>100</v>
      </c>
      <c r="I48" s="32">
        <f>N(77773.6)</f>
        <v>77773.600000000006</v>
      </c>
      <c r="J48" s="30">
        <f t="shared" si="20"/>
        <v>77773.600000000006</v>
      </c>
      <c r="K48" s="30"/>
      <c r="L48" s="30">
        <f t="shared" si="21"/>
        <v>100</v>
      </c>
      <c r="M48" s="5">
        <f>N(0)</f>
        <v>0</v>
      </c>
      <c r="N48" s="30">
        <f>N(94999.67)</f>
        <v>94999.67</v>
      </c>
      <c r="O48" s="30">
        <f t="shared" si="22"/>
        <v>94999.67</v>
      </c>
      <c r="P48" s="30"/>
      <c r="Q48" s="30">
        <f t="shared" si="23"/>
        <v>100</v>
      </c>
      <c r="R48" s="32">
        <f>N(77773.6)</f>
        <v>77773.600000000006</v>
      </c>
      <c r="S48" s="33">
        <f t="shared" si="24"/>
        <v>77773.600000000006</v>
      </c>
      <c r="T48" s="34"/>
      <c r="U48" s="34">
        <f t="shared" si="25"/>
        <v>100</v>
      </c>
    </row>
    <row r="49" spans="1:21" hidden="1" outlineLevel="2">
      <c r="A49" s="22"/>
      <c r="B49" s="28">
        <v>4360</v>
      </c>
      <c r="C49" s="29" t="s">
        <v>83</v>
      </c>
      <c r="D49" s="5">
        <f>N(15334.79)</f>
        <v>15334.79</v>
      </c>
      <c r="E49" s="30">
        <f>N(112999.67)</f>
        <v>112999.67</v>
      </c>
      <c r="F49" s="30">
        <f t="shared" si="18"/>
        <v>97664.88</v>
      </c>
      <c r="G49" s="30"/>
      <c r="H49" s="31">
        <f t="shared" si="19"/>
        <v>86.429349749428468</v>
      </c>
      <c r="I49" s="32">
        <f>N(121590.2)</f>
        <v>121590.2</v>
      </c>
      <c r="J49" s="30">
        <f t="shared" si="20"/>
        <v>106255.41</v>
      </c>
      <c r="K49" s="30"/>
      <c r="L49" s="30">
        <f t="shared" si="21"/>
        <v>87.388136543899094</v>
      </c>
      <c r="M49" s="5">
        <f>N(15334.79)</f>
        <v>15334.79</v>
      </c>
      <c r="N49" s="30">
        <f>N(112999.67)</f>
        <v>112999.67</v>
      </c>
      <c r="O49" s="30">
        <f t="shared" si="22"/>
        <v>97664.88</v>
      </c>
      <c r="P49" s="30"/>
      <c r="Q49" s="30">
        <f t="shared" si="23"/>
        <v>86.429349749428468</v>
      </c>
      <c r="R49" s="32">
        <f>N(121590.2)</f>
        <v>121590.2</v>
      </c>
      <c r="S49" s="33">
        <f t="shared" si="24"/>
        <v>106255.41</v>
      </c>
      <c r="T49" s="34"/>
      <c r="U49" s="34">
        <f t="shared" si="25"/>
        <v>87.388136543899094</v>
      </c>
    </row>
    <row r="50" spans="1:21" hidden="1" outlineLevel="1">
      <c r="A50" s="22"/>
      <c r="B50" s="35" t="str">
        <f>"    "&amp;"Forbruk av innkjøpte varer for videresalg"</f>
        <v xml:space="preserve">    Forbruk av innkjøpte varer for videresalg</v>
      </c>
      <c r="C50" s="36"/>
      <c r="D50" s="37">
        <f>SUM(D46:D49)</f>
        <v>40338.89</v>
      </c>
      <c r="E50" s="33">
        <f>SUM(E46:E49)</f>
        <v>327999.33999999997</v>
      </c>
      <c r="F50" s="33">
        <f t="shared" si="18"/>
        <v>287660.44999999995</v>
      </c>
      <c r="G50" s="33"/>
      <c r="H50" s="38">
        <f t="shared" si="19"/>
        <v>87.701533179914321</v>
      </c>
      <c r="I50" s="39">
        <f>SUM(I46:I49)</f>
        <v>484622.18</v>
      </c>
      <c r="J50" s="33">
        <f t="shared" si="20"/>
        <v>444283.29</v>
      </c>
      <c r="K50" s="33"/>
      <c r="L50" s="33">
        <f t="shared" si="21"/>
        <v>91.676218781402042</v>
      </c>
      <c r="M50" s="37">
        <f>SUM(M46:M49)</f>
        <v>40338.89</v>
      </c>
      <c r="N50" s="33">
        <f>SUM(N46:N49)</f>
        <v>327999.33999999997</v>
      </c>
      <c r="O50" s="33">
        <f t="shared" si="22"/>
        <v>287660.44999999995</v>
      </c>
      <c r="P50" s="33"/>
      <c r="Q50" s="33">
        <f t="shared" si="23"/>
        <v>87.701533179914321</v>
      </c>
      <c r="R50" s="39">
        <f>SUM(R46:R49)</f>
        <v>484622.18</v>
      </c>
      <c r="S50" s="33">
        <f t="shared" si="24"/>
        <v>444283.29</v>
      </c>
      <c r="T50" s="34"/>
      <c r="U50" s="34">
        <f t="shared" si="25"/>
        <v>91.676218781402042</v>
      </c>
    </row>
    <row r="51" spans="1:21" collapsed="1">
      <c r="A51" s="22"/>
      <c r="B51" s="41" t="s">
        <v>16</v>
      </c>
      <c r="C51" s="42"/>
      <c r="D51" s="43">
        <f>SUM(D50)</f>
        <v>40338.89</v>
      </c>
      <c r="E51" s="44">
        <f>SUM(E50)</f>
        <v>327999.33999999997</v>
      </c>
      <c r="F51" s="44">
        <f t="shared" si="18"/>
        <v>287660.44999999995</v>
      </c>
      <c r="G51" s="44"/>
      <c r="H51" s="45">
        <f t="shared" si="19"/>
        <v>87.701533179914321</v>
      </c>
      <c r="I51" s="46">
        <f>SUM(I50)</f>
        <v>484622.18</v>
      </c>
      <c r="J51" s="44">
        <f t="shared" si="20"/>
        <v>444283.29</v>
      </c>
      <c r="K51" s="44"/>
      <c r="L51" s="44">
        <f t="shared" si="21"/>
        <v>91.676218781402042</v>
      </c>
      <c r="M51" s="43">
        <f>SUM(M50)</f>
        <v>40338.89</v>
      </c>
      <c r="N51" s="44">
        <f>SUM(N50)</f>
        <v>327999.33999999997</v>
      </c>
      <c r="O51" s="44">
        <f t="shared" si="22"/>
        <v>287660.44999999995</v>
      </c>
      <c r="P51" s="44"/>
      <c r="Q51" s="44">
        <f t="shared" si="23"/>
        <v>87.701533179914321</v>
      </c>
      <c r="R51" s="46">
        <f>SUM(R50)</f>
        <v>484622.18</v>
      </c>
      <c r="S51" s="44">
        <f t="shared" si="24"/>
        <v>444283.29</v>
      </c>
      <c r="T51" s="47"/>
      <c r="U51" s="47">
        <f t="shared" si="25"/>
        <v>91.676218781402042</v>
      </c>
    </row>
    <row r="52" spans="1:21" hidden="1" outlineLevel="2">
      <c r="A52" s="22"/>
      <c r="B52" s="28">
        <v>5000</v>
      </c>
      <c r="C52" s="29" t="s">
        <v>84</v>
      </c>
      <c r="D52" s="5">
        <f>N(9192864.71)</f>
        <v>9192864.7100000009</v>
      </c>
      <c r="E52" s="30">
        <f>N(9621991.633111)</f>
        <v>9621991.6331110001</v>
      </c>
      <c r="F52" s="30">
        <f t="shared" si="18"/>
        <v>429126.92311099917</v>
      </c>
      <c r="G52" s="30"/>
      <c r="H52" s="31">
        <f t="shared" si="19"/>
        <v>4.4598555005420746</v>
      </c>
      <c r="I52" s="32">
        <f>N(7749772.23)</f>
        <v>7749772.2300000004</v>
      </c>
      <c r="J52" s="30">
        <f t="shared" si="20"/>
        <v>-1443092.4800000004</v>
      </c>
      <c r="K52" s="30"/>
      <c r="L52" s="30">
        <f t="shared" si="21"/>
        <v>-18.621095397019179</v>
      </c>
      <c r="M52" s="5">
        <f>N(9192864.71)</f>
        <v>9192864.7100000009</v>
      </c>
      <c r="N52" s="30">
        <f>N(9621991.633111)</f>
        <v>9621991.6331110001</v>
      </c>
      <c r="O52" s="30">
        <f t="shared" si="22"/>
        <v>429126.92311099917</v>
      </c>
      <c r="P52" s="30"/>
      <c r="Q52" s="30">
        <f t="shared" si="23"/>
        <v>4.4598555005420746</v>
      </c>
      <c r="R52" s="32">
        <f>N(7749772.23)</f>
        <v>7749772.2300000004</v>
      </c>
      <c r="S52" s="33">
        <f t="shared" si="24"/>
        <v>-1443092.4800000004</v>
      </c>
      <c r="T52" s="34"/>
      <c r="U52" s="34">
        <f t="shared" si="25"/>
        <v>-18.621095397019179</v>
      </c>
    </row>
    <row r="53" spans="1:21" hidden="1" outlineLevel="2">
      <c r="A53" s="22"/>
      <c r="B53" s="28">
        <v>5001</v>
      </c>
      <c r="C53" s="29" t="s">
        <v>85</v>
      </c>
      <c r="D53" s="5">
        <f>N(0)</f>
        <v>0</v>
      </c>
      <c r="E53" s="30">
        <f>N(0)</f>
        <v>0</v>
      </c>
      <c r="F53" s="30">
        <f t="shared" si="18"/>
        <v>0</v>
      </c>
      <c r="G53" s="30"/>
      <c r="H53" s="31">
        <f t="shared" si="19"/>
        <v>0</v>
      </c>
      <c r="I53" s="32">
        <f>N(-56551.39)</f>
        <v>-56551.39</v>
      </c>
      <c r="J53" s="30">
        <f t="shared" si="20"/>
        <v>-56551.39</v>
      </c>
      <c r="K53" s="30"/>
      <c r="L53" s="30">
        <f t="shared" si="21"/>
        <v>100</v>
      </c>
      <c r="M53" s="5">
        <f>N(0)</f>
        <v>0</v>
      </c>
      <c r="N53" s="30">
        <f>N(0)</f>
        <v>0</v>
      </c>
      <c r="O53" s="30">
        <f t="shared" si="22"/>
        <v>0</v>
      </c>
      <c r="P53" s="30"/>
      <c r="Q53" s="30">
        <f t="shared" si="23"/>
        <v>0</v>
      </c>
      <c r="R53" s="32">
        <f>N(-56551.39)</f>
        <v>-56551.39</v>
      </c>
      <c r="S53" s="33">
        <f t="shared" si="24"/>
        <v>-56551.39</v>
      </c>
      <c r="T53" s="34"/>
      <c r="U53" s="34">
        <f t="shared" si="25"/>
        <v>100</v>
      </c>
    </row>
    <row r="54" spans="1:21" hidden="1" outlineLevel="2">
      <c r="A54" s="22"/>
      <c r="B54" s="28">
        <v>5002</v>
      </c>
      <c r="C54" s="29" t="s">
        <v>86</v>
      </c>
      <c r="D54" s="5">
        <f>N(2295820.15)</f>
        <v>2295820.15</v>
      </c>
      <c r="E54" s="30">
        <f>N(2740624.53)</f>
        <v>2740624.53</v>
      </c>
      <c r="F54" s="30">
        <f t="shared" si="18"/>
        <v>444804.37999999989</v>
      </c>
      <c r="G54" s="30"/>
      <c r="H54" s="31">
        <f t="shared" si="19"/>
        <v>16.230037173315377</v>
      </c>
      <c r="I54" s="32">
        <f>N(2202602.42)</f>
        <v>2202602.42</v>
      </c>
      <c r="J54" s="30">
        <f t="shared" si="20"/>
        <v>-93217.729999999981</v>
      </c>
      <c r="K54" s="30"/>
      <c r="L54" s="30">
        <f t="shared" si="21"/>
        <v>-4.2321632426064433</v>
      </c>
      <c r="M54" s="5">
        <f>N(2295820.15)</f>
        <v>2295820.15</v>
      </c>
      <c r="N54" s="30">
        <f>N(2740624.53)</f>
        <v>2740624.53</v>
      </c>
      <c r="O54" s="30">
        <f t="shared" si="22"/>
        <v>444804.37999999989</v>
      </c>
      <c r="P54" s="30"/>
      <c r="Q54" s="30">
        <f t="shared" si="23"/>
        <v>16.230037173315377</v>
      </c>
      <c r="R54" s="32">
        <f>N(2202602.42)</f>
        <v>2202602.42</v>
      </c>
      <c r="S54" s="33">
        <f t="shared" si="24"/>
        <v>-93217.729999999981</v>
      </c>
      <c r="T54" s="34"/>
      <c r="U54" s="34">
        <f t="shared" si="25"/>
        <v>-4.2321632426064433</v>
      </c>
    </row>
    <row r="55" spans="1:21" hidden="1" outlineLevel="2">
      <c r="A55" s="22"/>
      <c r="B55" s="28">
        <v>5006</v>
      </c>
      <c r="C55" s="29" t="s">
        <v>88</v>
      </c>
      <c r="D55" s="5">
        <f>N(-83881.41)</f>
        <v>-83881.41</v>
      </c>
      <c r="E55" s="30">
        <f>N(319578)</f>
        <v>319578</v>
      </c>
      <c r="F55" s="30">
        <f t="shared" si="18"/>
        <v>403459.41000000003</v>
      </c>
      <c r="G55" s="30"/>
      <c r="H55" s="31">
        <f t="shared" si="19"/>
        <v>126.24755458761241</v>
      </c>
      <c r="I55" s="32">
        <f>N(-196355.16)</f>
        <v>-196355.16</v>
      </c>
      <c r="J55" s="30">
        <f t="shared" si="20"/>
        <v>-112473.75</v>
      </c>
      <c r="K55" s="30"/>
      <c r="L55" s="30">
        <f t="shared" si="21"/>
        <v>57.280771231069252</v>
      </c>
      <c r="M55" s="5">
        <f>N(-83881.41)</f>
        <v>-83881.41</v>
      </c>
      <c r="N55" s="30">
        <f>N(319578)</f>
        <v>319578</v>
      </c>
      <c r="O55" s="30">
        <f t="shared" si="22"/>
        <v>403459.41000000003</v>
      </c>
      <c r="P55" s="30"/>
      <c r="Q55" s="30">
        <f t="shared" si="23"/>
        <v>126.24755458761241</v>
      </c>
      <c r="R55" s="32">
        <f>N(-196355.16)</f>
        <v>-196355.16</v>
      </c>
      <c r="S55" s="33">
        <f t="shared" si="24"/>
        <v>-112473.75</v>
      </c>
      <c r="T55" s="34"/>
      <c r="U55" s="34">
        <f t="shared" si="25"/>
        <v>57.280771231069252</v>
      </c>
    </row>
    <row r="56" spans="1:21" hidden="1" outlineLevel="2">
      <c r="A56" s="22"/>
      <c r="B56" s="28">
        <v>5007</v>
      </c>
      <c r="C56" s="29" t="s">
        <v>89</v>
      </c>
      <c r="D56" s="5">
        <f>N(349133.5)</f>
        <v>349133.5</v>
      </c>
      <c r="E56" s="30">
        <f>N(0)</f>
        <v>0</v>
      </c>
      <c r="F56" s="30">
        <f t="shared" si="18"/>
        <v>-349133.5</v>
      </c>
      <c r="G56" s="30"/>
      <c r="H56" s="31">
        <f t="shared" si="19"/>
        <v>0</v>
      </c>
      <c r="I56" s="32">
        <f>N(208477.5)</f>
        <v>208477.5</v>
      </c>
      <c r="J56" s="30">
        <f t="shared" si="20"/>
        <v>-140656</v>
      </c>
      <c r="K56" s="30"/>
      <c r="L56" s="30">
        <f t="shared" si="21"/>
        <v>-67.468192011128295</v>
      </c>
      <c r="M56" s="5">
        <f>N(349133.5)</f>
        <v>349133.5</v>
      </c>
      <c r="N56" s="30">
        <f>N(0)</f>
        <v>0</v>
      </c>
      <c r="O56" s="30">
        <f t="shared" si="22"/>
        <v>-349133.5</v>
      </c>
      <c r="P56" s="30"/>
      <c r="Q56" s="30">
        <f t="shared" si="23"/>
        <v>0</v>
      </c>
      <c r="R56" s="32">
        <f>N(208477.5)</f>
        <v>208477.5</v>
      </c>
      <c r="S56" s="33">
        <f t="shared" si="24"/>
        <v>-140656</v>
      </c>
      <c r="T56" s="34"/>
      <c r="U56" s="34">
        <f t="shared" si="25"/>
        <v>-67.468192011128295</v>
      </c>
    </row>
    <row r="57" spans="1:21" hidden="1" outlineLevel="2">
      <c r="A57" s="22"/>
      <c r="B57" s="28">
        <v>5008</v>
      </c>
      <c r="C57" s="29" t="s">
        <v>90</v>
      </c>
      <c r="D57" s="5">
        <f>N(0)</f>
        <v>0</v>
      </c>
      <c r="E57" s="30">
        <f>N(0)</f>
        <v>0</v>
      </c>
      <c r="F57" s="30">
        <f t="shared" si="18"/>
        <v>0</v>
      </c>
      <c r="G57" s="30"/>
      <c r="H57" s="31">
        <f t="shared" si="19"/>
        <v>0</v>
      </c>
      <c r="I57" s="32">
        <f>N(0)</f>
        <v>0</v>
      </c>
      <c r="J57" s="30">
        <f t="shared" si="20"/>
        <v>0</v>
      </c>
      <c r="K57" s="30"/>
      <c r="L57" s="30">
        <f t="shared" si="21"/>
        <v>0</v>
      </c>
      <c r="M57" s="5">
        <f>N(0)</f>
        <v>0</v>
      </c>
      <c r="N57" s="30">
        <f>N(0)</f>
        <v>0</v>
      </c>
      <c r="O57" s="30">
        <f t="shared" si="22"/>
        <v>0</v>
      </c>
      <c r="P57" s="30"/>
      <c r="Q57" s="30">
        <f t="shared" si="23"/>
        <v>0</v>
      </c>
      <c r="R57" s="32">
        <f>N(0)</f>
        <v>0</v>
      </c>
      <c r="S57" s="33">
        <f t="shared" si="24"/>
        <v>0</v>
      </c>
      <c r="T57" s="34"/>
      <c r="U57" s="34">
        <f t="shared" si="25"/>
        <v>0</v>
      </c>
    </row>
    <row r="58" spans="1:21" hidden="1" outlineLevel="2">
      <c r="A58" s="22"/>
      <c r="B58" s="28">
        <v>5009</v>
      </c>
      <c r="C58" s="29" t="s">
        <v>91</v>
      </c>
      <c r="D58" s="5">
        <f>N(186824.11)</f>
        <v>186824.11</v>
      </c>
      <c r="E58" s="30">
        <f>N(21132)</f>
        <v>21132</v>
      </c>
      <c r="F58" s="30">
        <f t="shared" si="18"/>
        <v>-165692.10999999999</v>
      </c>
      <c r="G58" s="30"/>
      <c r="H58" s="31">
        <f t="shared" si="19"/>
        <v>-784.08153511262526</v>
      </c>
      <c r="I58" s="32">
        <f>N(561081.39)</f>
        <v>561081.39</v>
      </c>
      <c r="J58" s="30">
        <f t="shared" si="20"/>
        <v>374257.28</v>
      </c>
      <c r="K58" s="30"/>
      <c r="L58" s="30">
        <f t="shared" si="21"/>
        <v>66.7028503654345</v>
      </c>
      <c r="M58" s="5">
        <f>N(186824.11)</f>
        <v>186824.11</v>
      </c>
      <c r="N58" s="30">
        <f>N(21132)</f>
        <v>21132</v>
      </c>
      <c r="O58" s="30">
        <f t="shared" si="22"/>
        <v>-165692.10999999999</v>
      </c>
      <c r="P58" s="30"/>
      <c r="Q58" s="30">
        <f t="shared" si="23"/>
        <v>-784.08153511262526</v>
      </c>
      <c r="R58" s="32">
        <f>N(561081.39)</f>
        <v>561081.39</v>
      </c>
      <c r="S58" s="33">
        <f t="shared" si="24"/>
        <v>374257.28</v>
      </c>
      <c r="T58" s="34"/>
      <c r="U58" s="34">
        <f t="shared" si="25"/>
        <v>66.7028503654345</v>
      </c>
    </row>
    <row r="59" spans="1:21" hidden="1" outlineLevel="2">
      <c r="A59" s="22"/>
      <c r="B59" s="28">
        <v>5010</v>
      </c>
      <c r="C59" s="29" t="s">
        <v>92</v>
      </c>
      <c r="D59" s="5">
        <f>N(1485739.07)</f>
        <v>1485739.07</v>
      </c>
      <c r="E59" s="30">
        <f>N(1676858.289007)</f>
        <v>1676858.2890069999</v>
      </c>
      <c r="F59" s="30">
        <f t="shared" si="18"/>
        <v>191119.21900699986</v>
      </c>
      <c r="G59" s="30"/>
      <c r="H59" s="31">
        <f t="shared" si="19"/>
        <v>11.397457987948203</v>
      </c>
      <c r="I59" s="32">
        <f>N(1372354.07)</f>
        <v>1372354.07</v>
      </c>
      <c r="J59" s="30">
        <f t="shared" si="20"/>
        <v>-113385</v>
      </c>
      <c r="K59" s="30"/>
      <c r="L59" s="30">
        <f t="shared" si="21"/>
        <v>-8.2620806451209781</v>
      </c>
      <c r="M59" s="5">
        <f>N(1485739.07)</f>
        <v>1485739.07</v>
      </c>
      <c r="N59" s="30">
        <f>N(1676858.289007)</f>
        <v>1676858.2890069999</v>
      </c>
      <c r="O59" s="30">
        <f t="shared" si="22"/>
        <v>191119.21900699986</v>
      </c>
      <c r="P59" s="30"/>
      <c r="Q59" s="30">
        <f t="shared" si="23"/>
        <v>11.397457987948203</v>
      </c>
      <c r="R59" s="32">
        <f>N(1372354.07)</f>
        <v>1372354.07</v>
      </c>
      <c r="S59" s="33">
        <f t="shared" si="24"/>
        <v>-113385</v>
      </c>
      <c r="T59" s="34"/>
      <c r="U59" s="34">
        <f t="shared" si="25"/>
        <v>-8.2620806451209781</v>
      </c>
    </row>
    <row r="60" spans="1:21" hidden="1" outlineLevel="2">
      <c r="A60" s="22"/>
      <c r="B60" s="28">
        <v>5021</v>
      </c>
      <c r="C60" s="29" t="s">
        <v>93</v>
      </c>
      <c r="D60" s="5">
        <f>N(178073)</f>
        <v>178073</v>
      </c>
      <c r="E60" s="30">
        <f>N(225000)</f>
        <v>225000</v>
      </c>
      <c r="F60" s="30">
        <f t="shared" si="18"/>
        <v>46927</v>
      </c>
      <c r="G60" s="30"/>
      <c r="H60" s="31">
        <f t="shared" si="19"/>
        <v>20.856444444444445</v>
      </c>
      <c r="I60" s="32">
        <f>N(52409)</f>
        <v>52409</v>
      </c>
      <c r="J60" s="30">
        <f t="shared" si="20"/>
        <v>-125664</v>
      </c>
      <c r="K60" s="30"/>
      <c r="L60" s="30">
        <f t="shared" si="21"/>
        <v>-239.77561105916922</v>
      </c>
      <c r="M60" s="5">
        <f>N(178073)</f>
        <v>178073</v>
      </c>
      <c r="N60" s="30">
        <f>N(225000)</f>
        <v>225000</v>
      </c>
      <c r="O60" s="30">
        <f t="shared" si="22"/>
        <v>46927</v>
      </c>
      <c r="P60" s="30"/>
      <c r="Q60" s="30">
        <f t="shared" si="23"/>
        <v>20.856444444444445</v>
      </c>
      <c r="R60" s="32">
        <f>N(52409)</f>
        <v>52409</v>
      </c>
      <c r="S60" s="33">
        <f t="shared" si="24"/>
        <v>-125664</v>
      </c>
      <c r="T60" s="34"/>
      <c r="U60" s="34">
        <f t="shared" si="25"/>
        <v>-239.77561105916922</v>
      </c>
    </row>
    <row r="61" spans="1:21" hidden="1" outlineLevel="2">
      <c r="A61" s="22"/>
      <c r="B61" s="28">
        <v>5110</v>
      </c>
      <c r="C61" s="29" t="s">
        <v>94</v>
      </c>
      <c r="D61" s="5">
        <f>N(0)</f>
        <v>0</v>
      </c>
      <c r="E61" s="30">
        <f>N(220000)</f>
        <v>220000</v>
      </c>
      <c r="F61" s="30">
        <f t="shared" si="18"/>
        <v>220000</v>
      </c>
      <c r="G61" s="30"/>
      <c r="H61" s="31">
        <f t="shared" si="19"/>
        <v>100</v>
      </c>
      <c r="I61" s="32">
        <f>N(30546.5)</f>
        <v>30546.5</v>
      </c>
      <c r="J61" s="30">
        <f t="shared" si="20"/>
        <v>30546.5</v>
      </c>
      <c r="K61" s="30"/>
      <c r="L61" s="30">
        <f t="shared" si="21"/>
        <v>100</v>
      </c>
      <c r="M61" s="5">
        <f>N(0)</f>
        <v>0</v>
      </c>
      <c r="N61" s="30">
        <f>N(220000)</f>
        <v>220000</v>
      </c>
      <c r="O61" s="30">
        <f t="shared" si="22"/>
        <v>220000</v>
      </c>
      <c r="P61" s="30"/>
      <c r="Q61" s="30">
        <f t="shared" si="23"/>
        <v>100</v>
      </c>
      <c r="R61" s="32">
        <f>N(30546.5)</f>
        <v>30546.5</v>
      </c>
      <c r="S61" s="33">
        <f t="shared" si="24"/>
        <v>30546.5</v>
      </c>
      <c r="T61" s="34"/>
      <c r="U61" s="34">
        <f t="shared" si="25"/>
        <v>100</v>
      </c>
    </row>
    <row r="62" spans="1:21" hidden="1" outlineLevel="2">
      <c r="A62" s="22"/>
      <c r="B62" s="28">
        <v>5111</v>
      </c>
      <c r="C62" s="29" t="s">
        <v>95</v>
      </c>
      <c r="D62" s="5">
        <f>N(29860)</f>
        <v>29860</v>
      </c>
      <c r="E62" s="30">
        <f>N(110000)</f>
        <v>110000</v>
      </c>
      <c r="F62" s="30">
        <f t="shared" si="18"/>
        <v>80140</v>
      </c>
      <c r="G62" s="30"/>
      <c r="H62" s="31">
        <f t="shared" si="19"/>
        <v>72.854545454545459</v>
      </c>
      <c r="I62" s="32">
        <f>N(45751.84)</f>
        <v>45751.839999999997</v>
      </c>
      <c r="J62" s="30">
        <f t="shared" si="20"/>
        <v>15891.839999999997</v>
      </c>
      <c r="K62" s="30"/>
      <c r="L62" s="30">
        <f t="shared" si="21"/>
        <v>34.734865308149345</v>
      </c>
      <c r="M62" s="5">
        <f>N(29860)</f>
        <v>29860</v>
      </c>
      <c r="N62" s="30">
        <f>N(110000)</f>
        <v>110000</v>
      </c>
      <c r="O62" s="30">
        <f t="shared" si="22"/>
        <v>80140</v>
      </c>
      <c r="P62" s="30"/>
      <c r="Q62" s="30">
        <f t="shared" si="23"/>
        <v>72.854545454545459</v>
      </c>
      <c r="R62" s="32">
        <f>N(45751.84)</f>
        <v>45751.839999999997</v>
      </c>
      <c r="S62" s="33">
        <f t="shared" si="24"/>
        <v>15891.839999999997</v>
      </c>
      <c r="T62" s="34"/>
      <c r="U62" s="34">
        <f t="shared" si="25"/>
        <v>34.734865308149345</v>
      </c>
    </row>
    <row r="63" spans="1:21" hidden="1" outlineLevel="2">
      <c r="A63" s="22"/>
      <c r="B63" s="28">
        <v>5112</v>
      </c>
      <c r="C63" s="29" t="s">
        <v>96</v>
      </c>
      <c r="D63" s="5">
        <f>N(0)</f>
        <v>0</v>
      </c>
      <c r="E63" s="30">
        <f>N(0)</f>
        <v>0</v>
      </c>
      <c r="F63" s="30">
        <f t="shared" si="18"/>
        <v>0</v>
      </c>
      <c r="G63" s="30"/>
      <c r="H63" s="31">
        <f t="shared" si="19"/>
        <v>0</v>
      </c>
      <c r="I63" s="32">
        <f>N(3350)</f>
        <v>3350</v>
      </c>
      <c r="J63" s="30">
        <f t="shared" si="20"/>
        <v>3350</v>
      </c>
      <c r="K63" s="30"/>
      <c r="L63" s="30">
        <f t="shared" si="21"/>
        <v>100</v>
      </c>
      <c r="M63" s="5">
        <f>N(0)</f>
        <v>0</v>
      </c>
      <c r="N63" s="30">
        <f>N(0)</f>
        <v>0</v>
      </c>
      <c r="O63" s="30">
        <f t="shared" si="22"/>
        <v>0</v>
      </c>
      <c r="P63" s="30"/>
      <c r="Q63" s="30">
        <f t="shared" si="23"/>
        <v>0</v>
      </c>
      <c r="R63" s="32">
        <f>N(3350)</f>
        <v>3350</v>
      </c>
      <c r="S63" s="33">
        <f t="shared" si="24"/>
        <v>3350</v>
      </c>
      <c r="T63" s="34"/>
      <c r="U63" s="34">
        <f t="shared" si="25"/>
        <v>100</v>
      </c>
    </row>
    <row r="64" spans="1:21" hidden="1" outlineLevel="2">
      <c r="A64" s="22"/>
      <c r="B64" s="28">
        <v>5113</v>
      </c>
      <c r="C64" s="29" t="s">
        <v>97</v>
      </c>
      <c r="D64" s="5">
        <f>N(51740)</f>
        <v>51740</v>
      </c>
      <c r="E64" s="30">
        <f>N(120500)</f>
        <v>120500</v>
      </c>
      <c r="F64" s="30">
        <f t="shared" si="18"/>
        <v>68760</v>
      </c>
      <c r="G64" s="30"/>
      <c r="H64" s="31">
        <f t="shared" si="19"/>
        <v>57.062240663900418</v>
      </c>
      <c r="I64" s="32">
        <f>N(282057.48)</f>
        <v>282057.48</v>
      </c>
      <c r="J64" s="30">
        <f t="shared" si="20"/>
        <v>230317.47999999998</v>
      </c>
      <c r="K64" s="30"/>
      <c r="L64" s="30">
        <f t="shared" si="21"/>
        <v>81.656221278017526</v>
      </c>
      <c r="M64" s="5">
        <f>N(51740)</f>
        <v>51740</v>
      </c>
      <c r="N64" s="30">
        <f>N(120500)</f>
        <v>120500</v>
      </c>
      <c r="O64" s="30">
        <f t="shared" si="22"/>
        <v>68760</v>
      </c>
      <c r="P64" s="30"/>
      <c r="Q64" s="30">
        <f t="shared" si="23"/>
        <v>57.062240663900418</v>
      </c>
      <c r="R64" s="32">
        <f>N(282057.48)</f>
        <v>282057.48</v>
      </c>
      <c r="S64" s="33">
        <f t="shared" si="24"/>
        <v>230317.47999999998</v>
      </c>
      <c r="T64" s="34"/>
      <c r="U64" s="34">
        <f t="shared" si="25"/>
        <v>81.656221278017526</v>
      </c>
    </row>
    <row r="65" spans="1:21" hidden="1" outlineLevel="2">
      <c r="A65" s="22"/>
      <c r="B65" s="28">
        <v>5114</v>
      </c>
      <c r="C65" s="29" t="s">
        <v>98</v>
      </c>
      <c r="D65" s="5">
        <f>N(0)</f>
        <v>0</v>
      </c>
      <c r="E65" s="30">
        <f>N(0)</f>
        <v>0</v>
      </c>
      <c r="F65" s="30">
        <f t="shared" si="18"/>
        <v>0</v>
      </c>
      <c r="G65" s="30"/>
      <c r="H65" s="31">
        <f t="shared" si="19"/>
        <v>0</v>
      </c>
      <c r="I65" s="32">
        <f>N(41770)</f>
        <v>41770</v>
      </c>
      <c r="J65" s="30">
        <f t="shared" si="20"/>
        <v>41770</v>
      </c>
      <c r="K65" s="30"/>
      <c r="L65" s="30">
        <f t="shared" si="21"/>
        <v>100</v>
      </c>
      <c r="M65" s="5">
        <f>N(0)</f>
        <v>0</v>
      </c>
      <c r="N65" s="30">
        <f>N(0)</f>
        <v>0</v>
      </c>
      <c r="O65" s="30">
        <f t="shared" si="22"/>
        <v>0</v>
      </c>
      <c r="P65" s="30"/>
      <c r="Q65" s="30">
        <f t="shared" si="23"/>
        <v>0</v>
      </c>
      <c r="R65" s="32">
        <f>N(41770)</f>
        <v>41770</v>
      </c>
      <c r="S65" s="33">
        <f t="shared" si="24"/>
        <v>41770</v>
      </c>
      <c r="T65" s="34"/>
      <c r="U65" s="34">
        <f t="shared" si="25"/>
        <v>100</v>
      </c>
    </row>
    <row r="66" spans="1:21" hidden="1" outlineLevel="2">
      <c r="A66" s="22"/>
      <c r="B66" s="28">
        <v>5190</v>
      </c>
      <c r="C66" s="29" t="s">
        <v>99</v>
      </c>
      <c r="D66" s="5">
        <f>N(148061)</f>
        <v>148061</v>
      </c>
      <c r="E66" s="30">
        <f>N(0)</f>
        <v>0</v>
      </c>
      <c r="F66" s="30">
        <f t="shared" si="18"/>
        <v>-148061</v>
      </c>
      <c r="G66" s="30"/>
      <c r="H66" s="31">
        <f t="shared" si="19"/>
        <v>0</v>
      </c>
      <c r="I66" s="32">
        <f>N(470830)</f>
        <v>470830</v>
      </c>
      <c r="J66" s="30">
        <f t="shared" si="20"/>
        <v>322769</v>
      </c>
      <c r="K66" s="30"/>
      <c r="L66" s="30">
        <f t="shared" si="21"/>
        <v>68.553193296943689</v>
      </c>
      <c r="M66" s="5">
        <f>N(148061)</f>
        <v>148061</v>
      </c>
      <c r="N66" s="30">
        <f>N(0)</f>
        <v>0</v>
      </c>
      <c r="O66" s="30">
        <f t="shared" si="22"/>
        <v>-148061</v>
      </c>
      <c r="P66" s="30"/>
      <c r="Q66" s="30">
        <f t="shared" si="23"/>
        <v>0</v>
      </c>
      <c r="R66" s="32">
        <f>N(470830)</f>
        <v>470830</v>
      </c>
      <c r="S66" s="33">
        <f t="shared" si="24"/>
        <v>322769</v>
      </c>
      <c r="T66" s="34"/>
      <c r="U66" s="34">
        <f t="shared" si="25"/>
        <v>68.553193296943689</v>
      </c>
    </row>
    <row r="67" spans="1:21" hidden="1" outlineLevel="1">
      <c r="A67" s="22"/>
      <c r="B67" s="35" t="str">
        <f>"    "&amp;"Lønn til ansatte"</f>
        <v xml:space="preserve">    Lønn til ansatte</v>
      </c>
      <c r="C67" s="36"/>
      <c r="D67" s="37">
        <f>SUM(D52:D66)</f>
        <v>13834234.130000001</v>
      </c>
      <c r="E67" s="33">
        <f>SUM(E52:E66)</f>
        <v>15055684.452118</v>
      </c>
      <c r="F67" s="33">
        <f t="shared" si="18"/>
        <v>1221450.3221179992</v>
      </c>
      <c r="G67" s="33"/>
      <c r="H67" s="38">
        <f t="shared" si="19"/>
        <v>8.1128847114364717</v>
      </c>
      <c r="I67" s="39">
        <f>SUM(I52:I66)</f>
        <v>12768095.880000003</v>
      </c>
      <c r="J67" s="33">
        <f t="shared" si="20"/>
        <v>-1066138.2499999981</v>
      </c>
      <c r="K67" s="33"/>
      <c r="L67" s="33">
        <f t="shared" si="21"/>
        <v>-8.3500175752126164</v>
      </c>
      <c r="M67" s="37">
        <f>SUM(M52:M66)</f>
        <v>13834234.130000001</v>
      </c>
      <c r="N67" s="33">
        <f>SUM(N52:N66)</f>
        <v>15055684.452118</v>
      </c>
      <c r="O67" s="33">
        <f t="shared" si="22"/>
        <v>1221450.3221179992</v>
      </c>
      <c r="P67" s="33"/>
      <c r="Q67" s="33">
        <f t="shared" si="23"/>
        <v>8.1128847114364717</v>
      </c>
      <c r="R67" s="39">
        <f>SUM(R52:R66)</f>
        <v>12768095.880000003</v>
      </c>
      <c r="S67" s="33">
        <f t="shared" si="24"/>
        <v>-1066138.2499999981</v>
      </c>
      <c r="T67" s="34"/>
      <c r="U67" s="34">
        <f t="shared" si="25"/>
        <v>-8.3500175752126164</v>
      </c>
    </row>
    <row r="68" spans="1:21" hidden="1" outlineLevel="2">
      <c r="A68" s="22"/>
      <c r="B68" s="28">
        <v>5210</v>
      </c>
      <c r="C68" s="29" t="s">
        <v>100</v>
      </c>
      <c r="D68" s="5">
        <f>N(51140)</f>
        <v>51140</v>
      </c>
      <c r="E68" s="30">
        <f>N(55632)</f>
        <v>55632</v>
      </c>
      <c r="F68" s="30">
        <f t="shared" si="18"/>
        <v>4492</v>
      </c>
      <c r="G68" s="30"/>
      <c r="H68" s="31">
        <f t="shared" si="19"/>
        <v>8.0744895024446368</v>
      </c>
      <c r="I68" s="32">
        <f>N(52704)</f>
        <v>52704</v>
      </c>
      <c r="J68" s="30">
        <f t="shared" si="20"/>
        <v>1564</v>
      </c>
      <c r="K68" s="30"/>
      <c r="L68" s="30">
        <f t="shared" si="21"/>
        <v>2.9675166970248936</v>
      </c>
      <c r="M68" s="5">
        <f>N(51140)</f>
        <v>51140</v>
      </c>
      <c r="N68" s="30">
        <f>N(55632)</f>
        <v>55632</v>
      </c>
      <c r="O68" s="30">
        <f t="shared" si="22"/>
        <v>4492</v>
      </c>
      <c r="P68" s="30"/>
      <c r="Q68" s="30">
        <f t="shared" si="23"/>
        <v>8.0744895024446368</v>
      </c>
      <c r="R68" s="32">
        <f>N(52704)</f>
        <v>52704</v>
      </c>
      <c r="S68" s="33">
        <f t="shared" si="24"/>
        <v>1564</v>
      </c>
      <c r="T68" s="34"/>
      <c r="U68" s="34">
        <f t="shared" si="25"/>
        <v>2.9675166970248936</v>
      </c>
    </row>
    <row r="69" spans="1:21" hidden="1" outlineLevel="2">
      <c r="A69" s="22"/>
      <c r="B69" s="28">
        <v>5250</v>
      </c>
      <c r="C69" s="29" t="s">
        <v>102</v>
      </c>
      <c r="D69" s="5">
        <f>N(2424.91)</f>
        <v>2424.91</v>
      </c>
      <c r="E69" s="30">
        <f>N(2274.799992)</f>
        <v>2274.7999920000002</v>
      </c>
      <c r="F69" s="30">
        <f t="shared" si="18"/>
        <v>-150.11000799999965</v>
      </c>
      <c r="G69" s="30"/>
      <c r="H69" s="31">
        <f t="shared" si="19"/>
        <v>-6.5988222493364432</v>
      </c>
      <c r="I69" s="32">
        <f>N(2216.28)</f>
        <v>2216.2800000000002</v>
      </c>
      <c r="J69" s="30">
        <f t="shared" si="20"/>
        <v>-208.62999999999965</v>
      </c>
      <c r="K69" s="30"/>
      <c r="L69" s="30">
        <f t="shared" si="21"/>
        <v>-9.4135217571786782</v>
      </c>
      <c r="M69" s="5">
        <f>N(2424.91)</f>
        <v>2424.91</v>
      </c>
      <c r="N69" s="30">
        <f>N(2274.799992)</f>
        <v>2274.7999920000002</v>
      </c>
      <c r="O69" s="30">
        <f t="shared" si="22"/>
        <v>-150.11000799999965</v>
      </c>
      <c r="P69" s="30"/>
      <c r="Q69" s="30">
        <f t="shared" si="23"/>
        <v>-6.5988222493364432</v>
      </c>
      <c r="R69" s="32">
        <f>N(2216.28)</f>
        <v>2216.2800000000002</v>
      </c>
      <c r="S69" s="33">
        <f t="shared" si="24"/>
        <v>-208.62999999999965</v>
      </c>
      <c r="T69" s="34"/>
      <c r="U69" s="34">
        <f t="shared" si="25"/>
        <v>-9.4135217571786782</v>
      </c>
    </row>
    <row r="70" spans="1:21" hidden="1" outlineLevel="2">
      <c r="A70" s="22"/>
      <c r="B70" s="28">
        <v>5251</v>
      </c>
      <c r="C70" s="29" t="s">
        <v>103</v>
      </c>
      <c r="D70" s="5">
        <f>N(44948.61)</f>
        <v>44948.61</v>
      </c>
      <c r="E70" s="30">
        <f>N(47334.729992)</f>
        <v>47334.729992</v>
      </c>
      <c r="F70" s="30">
        <f t="shared" si="18"/>
        <v>2386.1199919999999</v>
      </c>
      <c r="G70" s="30"/>
      <c r="H70" s="31">
        <f t="shared" si="19"/>
        <v>5.0409498319801882</v>
      </c>
      <c r="I70" s="32">
        <f>N(47150.1)</f>
        <v>47150.1</v>
      </c>
      <c r="J70" s="30">
        <f t="shared" si="20"/>
        <v>2201.489999999998</v>
      </c>
      <c r="K70" s="30"/>
      <c r="L70" s="30">
        <f t="shared" si="21"/>
        <v>4.6691099276565646</v>
      </c>
      <c r="M70" s="5">
        <f>N(44948.61)</f>
        <v>44948.61</v>
      </c>
      <c r="N70" s="30">
        <f>N(47334.729992)</f>
        <v>47334.729992</v>
      </c>
      <c r="O70" s="30">
        <f t="shared" si="22"/>
        <v>2386.1199919999999</v>
      </c>
      <c r="P70" s="30"/>
      <c r="Q70" s="30">
        <f t="shared" si="23"/>
        <v>5.0409498319801882</v>
      </c>
      <c r="R70" s="32">
        <f>N(47150.1)</f>
        <v>47150.1</v>
      </c>
      <c r="S70" s="33">
        <f t="shared" si="24"/>
        <v>2201.489999999998</v>
      </c>
      <c r="T70" s="34"/>
      <c r="U70" s="34">
        <f t="shared" si="25"/>
        <v>4.6691099276565646</v>
      </c>
    </row>
    <row r="71" spans="1:21" hidden="1" outlineLevel="2">
      <c r="A71" s="22"/>
      <c r="B71" s="28">
        <v>5252</v>
      </c>
      <c r="C71" s="29" t="s">
        <v>104</v>
      </c>
      <c r="D71" s="5">
        <f>N(15649.62)</f>
        <v>15649.62</v>
      </c>
      <c r="E71" s="30">
        <f>N(13157.848008)</f>
        <v>13157.848008000001</v>
      </c>
      <c r="F71" s="30">
        <f t="shared" si="18"/>
        <v>-2491.771992</v>
      </c>
      <c r="G71" s="30"/>
      <c r="H71" s="31">
        <f t="shared" si="19"/>
        <v>-18.937534393808146</v>
      </c>
      <c r="I71" s="32">
        <f>N(12515.48)</f>
        <v>12515.48</v>
      </c>
      <c r="J71" s="30">
        <f t="shared" si="20"/>
        <v>-3134.1400000000012</v>
      </c>
      <c r="K71" s="30"/>
      <c r="L71" s="30">
        <f t="shared" si="21"/>
        <v>-25.042107853634068</v>
      </c>
      <c r="M71" s="5">
        <f>N(15649.62)</f>
        <v>15649.62</v>
      </c>
      <c r="N71" s="30">
        <f>N(13157.848008)</f>
        <v>13157.848008000001</v>
      </c>
      <c r="O71" s="30">
        <f t="shared" si="22"/>
        <v>-2491.771992</v>
      </c>
      <c r="P71" s="30"/>
      <c r="Q71" s="30">
        <f t="shared" si="23"/>
        <v>-18.937534393808146</v>
      </c>
      <c r="R71" s="32">
        <f>N(12515.48)</f>
        <v>12515.48</v>
      </c>
      <c r="S71" s="33">
        <f t="shared" si="24"/>
        <v>-3134.1400000000012</v>
      </c>
      <c r="T71" s="34"/>
      <c r="U71" s="34">
        <f t="shared" si="25"/>
        <v>-25.042107853634068</v>
      </c>
    </row>
    <row r="72" spans="1:21" hidden="1" outlineLevel="2">
      <c r="A72" s="22"/>
      <c r="B72" s="28">
        <v>5253</v>
      </c>
      <c r="C72" s="29" t="s">
        <v>105</v>
      </c>
      <c r="D72" s="5">
        <f>N(62902.12)</f>
        <v>62902.12</v>
      </c>
      <c r="E72" s="30">
        <f>N(51246.988008)</f>
        <v>51246.988008</v>
      </c>
      <c r="F72" s="30">
        <f t="shared" si="18"/>
        <v>-11655.131992000002</v>
      </c>
      <c r="G72" s="30"/>
      <c r="H72" s="31">
        <f t="shared" si="19"/>
        <v>-22.743057582585259</v>
      </c>
      <c r="I72" s="32">
        <f>N(48309.51)</f>
        <v>48309.51</v>
      </c>
      <c r="J72" s="30">
        <f t="shared" si="20"/>
        <v>-14592.61</v>
      </c>
      <c r="K72" s="30"/>
      <c r="L72" s="30">
        <f t="shared" si="21"/>
        <v>-30.206495574059847</v>
      </c>
      <c r="M72" s="5">
        <f>N(62902.12)</f>
        <v>62902.12</v>
      </c>
      <c r="N72" s="30">
        <f>N(51246.988008)</f>
        <v>51246.988008</v>
      </c>
      <c r="O72" s="30">
        <f t="shared" si="22"/>
        <v>-11655.131992000002</v>
      </c>
      <c r="P72" s="30"/>
      <c r="Q72" s="30">
        <f t="shared" si="23"/>
        <v>-22.743057582585259</v>
      </c>
      <c r="R72" s="32">
        <f>N(48309.51)</f>
        <v>48309.51</v>
      </c>
      <c r="S72" s="33">
        <f t="shared" si="24"/>
        <v>-14592.61</v>
      </c>
      <c r="T72" s="34"/>
      <c r="U72" s="34">
        <f t="shared" si="25"/>
        <v>-30.206495574059847</v>
      </c>
    </row>
    <row r="73" spans="1:21" hidden="1" outlineLevel="2">
      <c r="A73" s="22"/>
      <c r="B73" s="28">
        <v>5254</v>
      </c>
      <c r="C73" s="29" t="s">
        <v>106</v>
      </c>
      <c r="D73" s="5">
        <f>N(14793.75)</f>
        <v>14793.75</v>
      </c>
      <c r="E73" s="30">
        <f>N(14198.479992)</f>
        <v>14198.479992</v>
      </c>
      <c r="F73" s="30">
        <f t="shared" si="18"/>
        <v>-595.27000799999951</v>
      </c>
      <c r="G73" s="30"/>
      <c r="H73" s="31">
        <f t="shared" si="19"/>
        <v>-4.1924910859148214</v>
      </c>
      <c r="I73" s="32">
        <f>N(8727)</f>
        <v>8727</v>
      </c>
      <c r="J73" s="30">
        <f t="shared" si="20"/>
        <v>-6066.75</v>
      </c>
      <c r="K73" s="30"/>
      <c r="L73" s="30">
        <f t="shared" si="21"/>
        <v>-69.517016156754892</v>
      </c>
      <c r="M73" s="5">
        <f>N(14793.75)</f>
        <v>14793.75</v>
      </c>
      <c r="N73" s="30">
        <f>N(14198.479992)</f>
        <v>14198.479992</v>
      </c>
      <c r="O73" s="30">
        <f t="shared" si="22"/>
        <v>-595.27000799999951</v>
      </c>
      <c r="P73" s="30"/>
      <c r="Q73" s="30">
        <f t="shared" si="23"/>
        <v>-4.1924910859148214</v>
      </c>
      <c r="R73" s="32">
        <f>N(8727)</f>
        <v>8727</v>
      </c>
      <c r="S73" s="33">
        <f t="shared" si="24"/>
        <v>-6066.75</v>
      </c>
      <c r="T73" s="34"/>
      <c r="U73" s="34">
        <f t="shared" si="25"/>
        <v>-69.517016156754892</v>
      </c>
    </row>
    <row r="74" spans="1:21" hidden="1" outlineLevel="2">
      <c r="A74" s="22"/>
      <c r="B74" s="28">
        <v>5285</v>
      </c>
      <c r="C74" s="29" t="s">
        <v>108</v>
      </c>
      <c r="D74" s="5">
        <f>N(0)</f>
        <v>0</v>
      </c>
      <c r="E74" s="30">
        <f>N(40000)</f>
        <v>40000</v>
      </c>
      <c r="F74" s="30">
        <f t="shared" si="18"/>
        <v>40000</v>
      </c>
      <c r="G74" s="30"/>
      <c r="H74" s="31">
        <f t="shared" si="19"/>
        <v>100</v>
      </c>
      <c r="I74" s="32">
        <f>N(0)</f>
        <v>0</v>
      </c>
      <c r="J74" s="30">
        <f t="shared" si="20"/>
        <v>0</v>
      </c>
      <c r="K74" s="30"/>
      <c r="L74" s="30">
        <f t="shared" si="21"/>
        <v>0</v>
      </c>
      <c r="M74" s="5">
        <f>N(0)</f>
        <v>0</v>
      </c>
      <c r="N74" s="30">
        <f>N(40000)</f>
        <v>40000</v>
      </c>
      <c r="O74" s="30">
        <f t="shared" si="22"/>
        <v>40000</v>
      </c>
      <c r="P74" s="30"/>
      <c r="Q74" s="30">
        <f t="shared" si="23"/>
        <v>100</v>
      </c>
      <c r="R74" s="32">
        <f>N(0)</f>
        <v>0</v>
      </c>
      <c r="S74" s="33">
        <f t="shared" si="24"/>
        <v>0</v>
      </c>
      <c r="T74" s="34"/>
      <c r="U74" s="34">
        <f t="shared" si="25"/>
        <v>0</v>
      </c>
    </row>
    <row r="75" spans="1:21" hidden="1" outlineLevel="2">
      <c r="A75" s="22"/>
      <c r="B75" s="28">
        <v>5286</v>
      </c>
      <c r="C75" s="29" t="s">
        <v>109</v>
      </c>
      <c r="D75" s="5">
        <f>N(11786.55)</f>
        <v>11786.55</v>
      </c>
      <c r="E75" s="30">
        <f>N(22000)</f>
        <v>22000</v>
      </c>
      <c r="F75" s="30">
        <f t="shared" si="18"/>
        <v>10213.450000000001</v>
      </c>
      <c r="G75" s="30"/>
      <c r="H75" s="31">
        <f t="shared" si="19"/>
        <v>46.424772727272732</v>
      </c>
      <c r="I75" s="32">
        <f>N(3725)</f>
        <v>3725</v>
      </c>
      <c r="J75" s="30">
        <f t="shared" si="20"/>
        <v>-8061.5499999999993</v>
      </c>
      <c r="K75" s="30"/>
      <c r="L75" s="30">
        <f t="shared" si="21"/>
        <v>-216.41744966442951</v>
      </c>
      <c r="M75" s="5">
        <f>N(11786.55)</f>
        <v>11786.55</v>
      </c>
      <c r="N75" s="30">
        <f>N(22000)</f>
        <v>22000</v>
      </c>
      <c r="O75" s="30">
        <f t="shared" si="22"/>
        <v>10213.450000000001</v>
      </c>
      <c r="P75" s="30"/>
      <c r="Q75" s="30">
        <f t="shared" si="23"/>
        <v>46.424772727272732</v>
      </c>
      <c r="R75" s="32">
        <f>N(3725)</f>
        <v>3725</v>
      </c>
      <c r="S75" s="33">
        <f t="shared" si="24"/>
        <v>-8061.5499999999993</v>
      </c>
      <c r="T75" s="34"/>
      <c r="U75" s="34">
        <f t="shared" si="25"/>
        <v>-216.41744966442951</v>
      </c>
    </row>
    <row r="76" spans="1:21" hidden="1" outlineLevel="2">
      <c r="A76" s="22"/>
      <c r="B76" s="28">
        <v>5290</v>
      </c>
      <c r="C76" s="29" t="s">
        <v>110</v>
      </c>
      <c r="D76" s="5">
        <f>N(-934602.4)</f>
        <v>-934602.4</v>
      </c>
      <c r="E76" s="30">
        <f>N(-181793.589996)</f>
        <v>-181793.589996</v>
      </c>
      <c r="F76" s="30">
        <f t="shared" si="18"/>
        <v>752808.81000400009</v>
      </c>
      <c r="G76" s="30"/>
      <c r="H76" s="31">
        <f t="shared" si="19"/>
        <v>-414.10085472241576</v>
      </c>
      <c r="I76" s="32">
        <f>N(-753575.2)</f>
        <v>-753575.2</v>
      </c>
      <c r="J76" s="30">
        <f t="shared" si="20"/>
        <v>181027.20000000007</v>
      </c>
      <c r="K76" s="30"/>
      <c r="L76" s="30">
        <f t="shared" si="21"/>
        <v>-24.02244659856111</v>
      </c>
      <c r="M76" s="5">
        <f>N(-934602.4)</f>
        <v>-934602.4</v>
      </c>
      <c r="N76" s="30">
        <f>N(-181793.589996)</f>
        <v>-181793.589996</v>
      </c>
      <c r="O76" s="30">
        <f t="shared" si="22"/>
        <v>752808.81000400009</v>
      </c>
      <c r="P76" s="30"/>
      <c r="Q76" s="30">
        <f t="shared" si="23"/>
        <v>-414.10085472241576</v>
      </c>
      <c r="R76" s="32">
        <f>N(-753575.2)</f>
        <v>-753575.2</v>
      </c>
      <c r="S76" s="33">
        <f t="shared" si="24"/>
        <v>181027.20000000007</v>
      </c>
      <c r="T76" s="34"/>
      <c r="U76" s="34">
        <f t="shared" si="25"/>
        <v>-24.02244659856111</v>
      </c>
    </row>
    <row r="77" spans="1:21" hidden="1" outlineLevel="2">
      <c r="A77" s="22"/>
      <c r="B77" s="28">
        <v>5420</v>
      </c>
      <c r="C77" s="29" t="s">
        <v>111</v>
      </c>
      <c r="D77" s="5">
        <f>N(742743.39)</f>
        <v>742743.39</v>
      </c>
      <c r="E77" s="30">
        <f>N(0)</f>
        <v>0</v>
      </c>
      <c r="F77" s="30">
        <f t="shared" si="18"/>
        <v>-742743.39</v>
      </c>
      <c r="G77" s="30"/>
      <c r="H77" s="31">
        <f t="shared" si="19"/>
        <v>0</v>
      </c>
      <c r="I77" s="32">
        <f>N(581952.83)</f>
        <v>581952.82999999996</v>
      </c>
      <c r="J77" s="30">
        <f t="shared" si="20"/>
        <v>-160790.56000000006</v>
      </c>
      <c r="K77" s="30"/>
      <c r="L77" s="30">
        <f t="shared" si="21"/>
        <v>-27.629483303655395</v>
      </c>
      <c r="M77" s="5">
        <f>N(742743.39)</f>
        <v>742743.39</v>
      </c>
      <c r="N77" s="30">
        <f>N(0)</f>
        <v>0</v>
      </c>
      <c r="O77" s="30">
        <f t="shared" si="22"/>
        <v>-742743.39</v>
      </c>
      <c r="P77" s="30"/>
      <c r="Q77" s="30">
        <f t="shared" si="23"/>
        <v>0</v>
      </c>
      <c r="R77" s="32">
        <f>N(581952.83)</f>
        <v>581952.82999999996</v>
      </c>
      <c r="S77" s="33">
        <f t="shared" si="24"/>
        <v>-160790.56000000006</v>
      </c>
      <c r="T77" s="34"/>
      <c r="U77" s="34">
        <f t="shared" si="25"/>
        <v>-27.629483303655395</v>
      </c>
    </row>
    <row r="78" spans="1:21" hidden="1" outlineLevel="1">
      <c r="A78" s="22"/>
      <c r="B78" s="35" t="str">
        <f>"    "&amp;"Fordel i arbeidsforhold"</f>
        <v xml:space="preserve">    Fordel i arbeidsforhold</v>
      </c>
      <c r="C78" s="36"/>
      <c r="D78" s="37">
        <f>SUM(D68:D77)</f>
        <v>11786.54999999993</v>
      </c>
      <c r="E78" s="33">
        <f>SUM(E68:E77)</f>
        <v>64051.255995999993</v>
      </c>
      <c r="F78" s="33">
        <f t="shared" si="18"/>
        <v>52264.705996000062</v>
      </c>
      <c r="G78" s="33"/>
      <c r="H78" s="38">
        <f t="shared" si="19"/>
        <v>81.598253122880209</v>
      </c>
      <c r="I78" s="39">
        <f>SUM(I68:I77)</f>
        <v>3725</v>
      </c>
      <c r="J78" s="33">
        <f t="shared" si="20"/>
        <v>-8061.5499999999302</v>
      </c>
      <c r="K78" s="33"/>
      <c r="L78" s="33">
        <f t="shared" si="21"/>
        <v>-216.41744966442766</v>
      </c>
      <c r="M78" s="37">
        <f>SUM(M68:M77)</f>
        <v>11786.54999999993</v>
      </c>
      <c r="N78" s="33">
        <f>SUM(N68:N77)</f>
        <v>64051.255995999993</v>
      </c>
      <c r="O78" s="33">
        <f t="shared" si="22"/>
        <v>52264.705996000062</v>
      </c>
      <c r="P78" s="33"/>
      <c r="Q78" s="33">
        <f t="shared" si="23"/>
        <v>81.598253122880209</v>
      </c>
      <c r="R78" s="39">
        <f>SUM(R68:R77)</f>
        <v>3725</v>
      </c>
      <c r="S78" s="33">
        <f t="shared" si="24"/>
        <v>-8061.5499999999302</v>
      </c>
      <c r="T78" s="34"/>
      <c r="U78" s="34">
        <f t="shared" si="25"/>
        <v>-216.41744966442766</v>
      </c>
    </row>
    <row r="79" spans="1:21" hidden="1" outlineLevel="2">
      <c r="A79" s="22"/>
      <c r="B79" s="28">
        <v>5312</v>
      </c>
      <c r="C79" s="29" t="s">
        <v>113</v>
      </c>
      <c r="D79" s="5">
        <f>N(161759.6)</f>
        <v>161759.6</v>
      </c>
      <c r="E79" s="30">
        <f>N(0)</f>
        <v>0</v>
      </c>
      <c r="F79" s="30">
        <f t="shared" si="18"/>
        <v>-161759.6</v>
      </c>
      <c r="G79" s="30"/>
      <c r="H79" s="31">
        <f t="shared" si="19"/>
        <v>0</v>
      </c>
      <c r="I79" s="32">
        <f>N(0)</f>
        <v>0</v>
      </c>
      <c r="J79" s="30">
        <f t="shared" si="20"/>
        <v>-161759.6</v>
      </c>
      <c r="K79" s="30"/>
      <c r="L79" s="30">
        <f t="shared" si="21"/>
        <v>0</v>
      </c>
      <c r="M79" s="5">
        <f>N(161759.6)</f>
        <v>161759.6</v>
      </c>
      <c r="N79" s="30">
        <f>N(0)</f>
        <v>0</v>
      </c>
      <c r="O79" s="30">
        <f t="shared" si="22"/>
        <v>-161759.6</v>
      </c>
      <c r="P79" s="30"/>
      <c r="Q79" s="30">
        <f t="shared" si="23"/>
        <v>0</v>
      </c>
      <c r="R79" s="32">
        <f>N(0)</f>
        <v>0</v>
      </c>
      <c r="S79" s="33">
        <f t="shared" si="24"/>
        <v>-161759.6</v>
      </c>
      <c r="T79" s="34"/>
      <c r="U79" s="34">
        <f t="shared" si="25"/>
        <v>0</v>
      </c>
    </row>
    <row r="80" spans="1:21" hidden="1" outlineLevel="2">
      <c r="A80" s="22"/>
      <c r="B80" s="28">
        <v>5326</v>
      </c>
      <c r="C80" s="29" t="s">
        <v>114</v>
      </c>
      <c r="D80" s="5">
        <f>N(119446)</f>
        <v>119446</v>
      </c>
      <c r="E80" s="30">
        <f>N(100000)</f>
        <v>100000</v>
      </c>
      <c r="F80" s="30">
        <f t="shared" si="18"/>
        <v>-19446</v>
      </c>
      <c r="G80" s="30"/>
      <c r="H80" s="31">
        <f t="shared" si="19"/>
        <v>-19.446000000000002</v>
      </c>
      <c r="I80" s="32">
        <f>N(98369.96)</f>
        <v>98369.96</v>
      </c>
      <c r="J80" s="30">
        <f t="shared" si="20"/>
        <v>-21076.039999999994</v>
      </c>
      <c r="K80" s="30"/>
      <c r="L80" s="30">
        <f t="shared" si="21"/>
        <v>-21.425280644619551</v>
      </c>
      <c r="M80" s="5">
        <f>N(119446)</f>
        <v>119446</v>
      </c>
      <c r="N80" s="30">
        <f>N(100000)</f>
        <v>100000</v>
      </c>
      <c r="O80" s="30">
        <f t="shared" si="22"/>
        <v>-19446</v>
      </c>
      <c r="P80" s="30"/>
      <c r="Q80" s="30">
        <f t="shared" si="23"/>
        <v>-19.446000000000002</v>
      </c>
      <c r="R80" s="32">
        <f>N(98369.96)</f>
        <v>98369.96</v>
      </c>
      <c r="S80" s="33">
        <f t="shared" si="24"/>
        <v>-21076.039999999994</v>
      </c>
      <c r="T80" s="34"/>
      <c r="U80" s="34">
        <f t="shared" si="25"/>
        <v>-21.425280644619551</v>
      </c>
    </row>
    <row r="81" spans="1:21" hidden="1" outlineLevel="2">
      <c r="A81" s="22"/>
      <c r="B81" s="28">
        <v>5391</v>
      </c>
      <c r="C81" s="29" t="s">
        <v>115</v>
      </c>
      <c r="D81" s="5">
        <f>N(0)</f>
        <v>0</v>
      </c>
      <c r="E81" s="30">
        <f>N(0)</f>
        <v>0</v>
      </c>
      <c r="F81" s="30">
        <f t="shared" si="18"/>
        <v>0</v>
      </c>
      <c r="G81" s="30"/>
      <c r="H81" s="31">
        <f t="shared" si="19"/>
        <v>0</v>
      </c>
      <c r="I81" s="32">
        <f>N(10000)</f>
        <v>10000</v>
      </c>
      <c r="J81" s="30">
        <f t="shared" si="20"/>
        <v>10000</v>
      </c>
      <c r="K81" s="30"/>
      <c r="L81" s="30">
        <f t="shared" si="21"/>
        <v>100</v>
      </c>
      <c r="M81" s="5">
        <f>N(0)</f>
        <v>0</v>
      </c>
      <c r="N81" s="30">
        <f>N(0)</f>
        <v>0</v>
      </c>
      <c r="O81" s="30">
        <f t="shared" si="22"/>
        <v>0</v>
      </c>
      <c r="P81" s="30"/>
      <c r="Q81" s="30">
        <f t="shared" si="23"/>
        <v>0</v>
      </c>
      <c r="R81" s="32">
        <f>N(10000)</f>
        <v>10000</v>
      </c>
      <c r="S81" s="33">
        <f t="shared" si="24"/>
        <v>10000</v>
      </c>
      <c r="T81" s="34"/>
      <c r="U81" s="34">
        <f t="shared" si="25"/>
        <v>100</v>
      </c>
    </row>
    <row r="82" spans="1:21" hidden="1" outlineLevel="1">
      <c r="A82" s="22"/>
      <c r="B82" s="35" t="str">
        <f>"    "&amp;"Annen oppgavepliktig godtgjørelse"</f>
        <v xml:space="preserve">    Annen oppgavepliktig godtgjørelse</v>
      </c>
      <c r="C82" s="36"/>
      <c r="D82" s="37">
        <f>SUM(D79:D81)</f>
        <v>281205.59999999998</v>
      </c>
      <c r="E82" s="33">
        <f>SUM(E79:E81)</f>
        <v>100000</v>
      </c>
      <c r="F82" s="33">
        <f t="shared" si="18"/>
        <v>-181205.59999999998</v>
      </c>
      <c r="G82" s="33"/>
      <c r="H82" s="38">
        <f t="shared" si="19"/>
        <v>-181.20559999999998</v>
      </c>
      <c r="I82" s="39">
        <f>SUM(I79:I81)</f>
        <v>108369.96</v>
      </c>
      <c r="J82" s="33">
        <f t="shared" si="20"/>
        <v>-172835.63999999996</v>
      </c>
      <c r="K82" s="33"/>
      <c r="L82" s="33">
        <f t="shared" si="21"/>
        <v>-159.48666955307536</v>
      </c>
      <c r="M82" s="37">
        <f>SUM(M79:M81)</f>
        <v>281205.59999999998</v>
      </c>
      <c r="N82" s="33">
        <f>SUM(N79:N81)</f>
        <v>100000</v>
      </c>
      <c r="O82" s="33">
        <f t="shared" si="22"/>
        <v>-181205.59999999998</v>
      </c>
      <c r="P82" s="33"/>
      <c r="Q82" s="33">
        <f t="shared" si="23"/>
        <v>-181.20559999999998</v>
      </c>
      <c r="R82" s="39">
        <f>SUM(R79:R81)</f>
        <v>108369.96</v>
      </c>
      <c r="S82" s="33">
        <f t="shared" si="24"/>
        <v>-172835.63999999996</v>
      </c>
      <c r="T82" s="34"/>
      <c r="U82" s="34">
        <f t="shared" si="25"/>
        <v>-159.48666955307536</v>
      </c>
    </row>
    <row r="83" spans="1:21" hidden="1" outlineLevel="2">
      <c r="A83" s="22"/>
      <c r="B83" s="28">
        <v>5400</v>
      </c>
      <c r="C83" s="29" t="s">
        <v>116</v>
      </c>
      <c r="D83" s="5">
        <f>N(1386424.09)</f>
        <v>1386424.09</v>
      </c>
      <c r="E83" s="30">
        <f>N(1657142.788001)</f>
        <v>1657142.7880009999</v>
      </c>
      <c r="F83" s="30">
        <f t="shared" si="18"/>
        <v>270718.69800099987</v>
      </c>
      <c r="G83" s="30"/>
      <c r="H83" s="31">
        <f t="shared" si="19"/>
        <v>16.336473836848182</v>
      </c>
      <c r="I83" s="32">
        <f>N(1280978.48)</f>
        <v>1280978.48</v>
      </c>
      <c r="J83" s="30">
        <f t="shared" si="20"/>
        <v>-105445.6100000001</v>
      </c>
      <c r="K83" s="30"/>
      <c r="L83" s="30">
        <f t="shared" si="21"/>
        <v>-8.2316457025882368</v>
      </c>
      <c r="M83" s="5">
        <f>N(1386424.09)</f>
        <v>1386424.09</v>
      </c>
      <c r="N83" s="30">
        <f>N(1657142.788001)</f>
        <v>1657142.7880009999</v>
      </c>
      <c r="O83" s="30">
        <f t="shared" si="22"/>
        <v>270718.69800099987</v>
      </c>
      <c r="P83" s="30"/>
      <c r="Q83" s="30">
        <f t="shared" si="23"/>
        <v>16.336473836848182</v>
      </c>
      <c r="R83" s="32">
        <f>N(1280978.48)</f>
        <v>1280978.48</v>
      </c>
      <c r="S83" s="33">
        <f t="shared" si="24"/>
        <v>-105445.6100000001</v>
      </c>
      <c r="T83" s="34"/>
      <c r="U83" s="34">
        <f t="shared" si="25"/>
        <v>-8.2316457025882368</v>
      </c>
    </row>
    <row r="84" spans="1:21" hidden="1" outlineLevel="2">
      <c r="A84" s="22"/>
      <c r="B84" s="28">
        <v>5410</v>
      </c>
      <c r="C84" s="29" t="s">
        <v>117</v>
      </c>
      <c r="D84" s="5">
        <f>N(166717.4)</f>
        <v>166717.4</v>
      </c>
      <c r="E84" s="30">
        <f>N(187953.029126)</f>
        <v>187953.02912600001</v>
      </c>
      <c r="F84" s="30">
        <f t="shared" si="18"/>
        <v>21235.629126000014</v>
      </c>
      <c r="G84" s="30"/>
      <c r="H84" s="31">
        <f t="shared" si="19"/>
        <v>11.298370249603195</v>
      </c>
      <c r="I84" s="32">
        <f>N(154760.88)</f>
        <v>154760.88</v>
      </c>
      <c r="J84" s="30">
        <f t="shared" si="20"/>
        <v>-11956.51999999999</v>
      </c>
      <c r="K84" s="30"/>
      <c r="L84" s="30">
        <f t="shared" si="21"/>
        <v>-7.7258025413140521</v>
      </c>
      <c r="M84" s="5">
        <f>N(166717.4)</f>
        <v>166717.4</v>
      </c>
      <c r="N84" s="30">
        <f>N(187953.029126)</f>
        <v>187953.02912600001</v>
      </c>
      <c r="O84" s="30">
        <f t="shared" si="22"/>
        <v>21235.629126000014</v>
      </c>
      <c r="P84" s="30"/>
      <c r="Q84" s="30">
        <f t="shared" si="23"/>
        <v>11.298370249603195</v>
      </c>
      <c r="R84" s="32">
        <f>N(154760.88)</f>
        <v>154760.88</v>
      </c>
      <c r="S84" s="33">
        <f t="shared" si="24"/>
        <v>-11956.51999999999</v>
      </c>
      <c r="T84" s="34"/>
      <c r="U84" s="34">
        <f t="shared" si="25"/>
        <v>-7.7258025413140521</v>
      </c>
    </row>
    <row r="85" spans="1:21" hidden="1" outlineLevel="1">
      <c r="A85" s="22"/>
      <c r="B85" s="35" t="str">
        <f>"    "&amp;"Arbeidsgiveravgift og pensjonskostnad"</f>
        <v xml:space="preserve">    Arbeidsgiveravgift og pensjonskostnad</v>
      </c>
      <c r="C85" s="36"/>
      <c r="D85" s="37">
        <f>SUM(D83:D84)</f>
        <v>1553141.49</v>
      </c>
      <c r="E85" s="33">
        <f>SUM(E83:E84)</f>
        <v>1845095.8171270001</v>
      </c>
      <c r="F85" s="33">
        <f t="shared" si="18"/>
        <v>291954.32712700008</v>
      </c>
      <c r="G85" s="33"/>
      <c r="H85" s="38">
        <f t="shared" si="19"/>
        <v>15.823261015333197</v>
      </c>
      <c r="I85" s="39">
        <f>SUM(I83:I84)</f>
        <v>1435739.3599999999</v>
      </c>
      <c r="J85" s="33">
        <f t="shared" si="20"/>
        <v>-117402.13000000012</v>
      </c>
      <c r="K85" s="33"/>
      <c r="L85" s="33">
        <f t="shared" si="21"/>
        <v>-8.1771199753136337</v>
      </c>
      <c r="M85" s="37">
        <f>SUM(M83:M84)</f>
        <v>1553141.49</v>
      </c>
      <c r="N85" s="33">
        <f>SUM(N83:N84)</f>
        <v>1845095.8171270001</v>
      </c>
      <c r="O85" s="33">
        <f t="shared" si="22"/>
        <v>291954.32712700008</v>
      </c>
      <c r="P85" s="33"/>
      <c r="Q85" s="33">
        <f t="shared" si="23"/>
        <v>15.823261015333197</v>
      </c>
      <c r="R85" s="39">
        <f>SUM(R83:R84)</f>
        <v>1435739.3599999999</v>
      </c>
      <c r="S85" s="33">
        <f t="shared" si="24"/>
        <v>-117402.13000000012</v>
      </c>
      <c r="T85" s="34"/>
      <c r="U85" s="34">
        <f t="shared" si="25"/>
        <v>-8.1771199753136337</v>
      </c>
    </row>
    <row r="86" spans="1:21" hidden="1" outlineLevel="2">
      <c r="A86" s="22"/>
      <c r="B86" s="28">
        <v>5800</v>
      </c>
      <c r="C86" s="29" t="s">
        <v>118</v>
      </c>
      <c r="D86" s="5">
        <f>N(-148061)</f>
        <v>-148061</v>
      </c>
      <c r="E86" s="30">
        <f>N(0)</f>
        <v>0</v>
      </c>
      <c r="F86" s="30">
        <f t="shared" si="18"/>
        <v>148061</v>
      </c>
      <c r="G86" s="30"/>
      <c r="H86" s="31">
        <f t="shared" si="19"/>
        <v>0</v>
      </c>
      <c r="I86" s="32">
        <f>N(-470830)</f>
        <v>-470830</v>
      </c>
      <c r="J86" s="30">
        <f t="shared" si="20"/>
        <v>-322769</v>
      </c>
      <c r="K86" s="30"/>
      <c r="L86" s="30">
        <f t="shared" si="21"/>
        <v>68.553193296943689</v>
      </c>
      <c r="M86" s="5">
        <f>N(-148061)</f>
        <v>-148061</v>
      </c>
      <c r="N86" s="30">
        <f>N(0)</f>
        <v>0</v>
      </c>
      <c r="O86" s="30">
        <f t="shared" si="22"/>
        <v>148061</v>
      </c>
      <c r="P86" s="30"/>
      <c r="Q86" s="30">
        <f t="shared" si="23"/>
        <v>0</v>
      </c>
      <c r="R86" s="32">
        <f>N(-470830)</f>
        <v>-470830</v>
      </c>
      <c r="S86" s="33">
        <f t="shared" si="24"/>
        <v>-322769</v>
      </c>
      <c r="T86" s="34"/>
      <c r="U86" s="34">
        <f t="shared" si="25"/>
        <v>68.553193296943689</v>
      </c>
    </row>
    <row r="87" spans="1:21" hidden="1" outlineLevel="2">
      <c r="A87" s="22"/>
      <c r="B87" s="28">
        <v>5802</v>
      </c>
      <c r="C87" s="29" t="s">
        <v>119</v>
      </c>
      <c r="D87" s="5">
        <f>N(0)</f>
        <v>0</v>
      </c>
      <c r="E87" s="30">
        <f>N(0)</f>
        <v>0</v>
      </c>
      <c r="F87" s="30">
        <f t="shared" si="18"/>
        <v>0</v>
      </c>
      <c r="G87" s="30"/>
      <c r="H87" s="31">
        <f t="shared" si="19"/>
        <v>0</v>
      </c>
      <c r="I87" s="32">
        <f>N(-68235)</f>
        <v>-68235</v>
      </c>
      <c r="J87" s="30">
        <f t="shared" si="20"/>
        <v>-68235</v>
      </c>
      <c r="K87" s="30"/>
      <c r="L87" s="30">
        <f t="shared" si="21"/>
        <v>100</v>
      </c>
      <c r="M87" s="5">
        <f>N(0)</f>
        <v>0</v>
      </c>
      <c r="N87" s="30">
        <f>N(0)</f>
        <v>0</v>
      </c>
      <c r="O87" s="30">
        <f t="shared" si="22"/>
        <v>0</v>
      </c>
      <c r="P87" s="30"/>
      <c r="Q87" s="30">
        <f t="shared" si="23"/>
        <v>0</v>
      </c>
      <c r="R87" s="32">
        <f>N(-68235)</f>
        <v>-68235</v>
      </c>
      <c r="S87" s="33">
        <f t="shared" si="24"/>
        <v>-68235</v>
      </c>
      <c r="T87" s="34"/>
      <c r="U87" s="34">
        <f t="shared" si="25"/>
        <v>100</v>
      </c>
    </row>
    <row r="88" spans="1:21" hidden="1" outlineLevel="1">
      <c r="A88" s="22"/>
      <c r="B88" s="35" t="str">
        <f>"    "&amp;"Offentlig refusjon vedrørende arbeidskraft"</f>
        <v xml:space="preserve">    Offentlig refusjon vedrørende arbeidskraft</v>
      </c>
      <c r="C88" s="36"/>
      <c r="D88" s="37">
        <f>SUM(D86:D87)</f>
        <v>-148061</v>
      </c>
      <c r="E88" s="33">
        <f>SUM(E86:E87)</f>
        <v>0</v>
      </c>
      <c r="F88" s="33">
        <f t="shared" si="18"/>
        <v>148061</v>
      </c>
      <c r="G88" s="33"/>
      <c r="H88" s="38">
        <f t="shared" si="19"/>
        <v>0</v>
      </c>
      <c r="I88" s="39">
        <f>SUM(I86:I87)</f>
        <v>-539065</v>
      </c>
      <c r="J88" s="33">
        <f t="shared" si="20"/>
        <v>-391004</v>
      </c>
      <c r="K88" s="33"/>
      <c r="L88" s="33">
        <f t="shared" si="21"/>
        <v>72.533738973964176</v>
      </c>
      <c r="M88" s="37">
        <f>SUM(M86:M87)</f>
        <v>-148061</v>
      </c>
      <c r="N88" s="33">
        <f>SUM(N86:N87)</f>
        <v>0</v>
      </c>
      <c r="O88" s="33">
        <f t="shared" si="22"/>
        <v>148061</v>
      </c>
      <c r="P88" s="33"/>
      <c r="Q88" s="33">
        <f t="shared" si="23"/>
        <v>0</v>
      </c>
      <c r="R88" s="39">
        <f>SUM(R86:R87)</f>
        <v>-539065</v>
      </c>
      <c r="S88" s="33">
        <f t="shared" si="24"/>
        <v>-391004</v>
      </c>
      <c r="T88" s="34"/>
      <c r="U88" s="34">
        <f t="shared" si="25"/>
        <v>72.533738973964176</v>
      </c>
    </row>
    <row r="89" spans="1:21" hidden="1" outlineLevel="2">
      <c r="A89" s="22"/>
      <c r="B89" s="28">
        <v>5500</v>
      </c>
      <c r="C89" s="29" t="s">
        <v>121</v>
      </c>
      <c r="D89" s="5">
        <f>N(4407)</f>
        <v>4407</v>
      </c>
      <c r="E89" s="30">
        <f>N(0)</f>
        <v>0</v>
      </c>
      <c r="F89" s="30">
        <f t="shared" si="18"/>
        <v>-4407</v>
      </c>
      <c r="G89" s="30"/>
      <c r="H89" s="31">
        <f t="shared" si="19"/>
        <v>0</v>
      </c>
      <c r="I89" s="32">
        <f>N(199)</f>
        <v>199</v>
      </c>
      <c r="J89" s="30">
        <f t="shared" si="20"/>
        <v>-4208</v>
      </c>
      <c r="K89" s="30"/>
      <c r="L89" s="30">
        <f t="shared" si="21"/>
        <v>-2114.572864321608</v>
      </c>
      <c r="M89" s="5">
        <f>N(4407)</f>
        <v>4407</v>
      </c>
      <c r="N89" s="30">
        <f>N(0)</f>
        <v>0</v>
      </c>
      <c r="O89" s="30">
        <f t="shared" si="22"/>
        <v>-4407</v>
      </c>
      <c r="P89" s="30"/>
      <c r="Q89" s="30">
        <f t="shared" si="23"/>
        <v>0</v>
      </c>
      <c r="R89" s="32">
        <f>N(199)</f>
        <v>199</v>
      </c>
      <c r="S89" s="33">
        <f t="shared" si="24"/>
        <v>-4208</v>
      </c>
      <c r="T89" s="34"/>
      <c r="U89" s="34">
        <f t="shared" si="25"/>
        <v>-2114.572864321608</v>
      </c>
    </row>
    <row r="90" spans="1:21" hidden="1" outlineLevel="2">
      <c r="A90" s="22"/>
      <c r="B90" s="28">
        <v>5900</v>
      </c>
      <c r="C90" s="29" t="s">
        <v>122</v>
      </c>
      <c r="D90" s="5">
        <f>N(21756)</f>
        <v>21756</v>
      </c>
      <c r="E90" s="30">
        <f>N(10000)</f>
        <v>10000</v>
      </c>
      <c r="F90" s="30">
        <f t="shared" si="18"/>
        <v>-11756</v>
      </c>
      <c r="G90" s="30"/>
      <c r="H90" s="31">
        <f t="shared" si="19"/>
        <v>-117.56</v>
      </c>
      <c r="I90" s="32">
        <f>N(11328.7)</f>
        <v>11328.7</v>
      </c>
      <c r="J90" s="30">
        <f t="shared" si="20"/>
        <v>-10427.299999999999</v>
      </c>
      <c r="K90" s="30"/>
      <c r="L90" s="30">
        <f t="shared" si="21"/>
        <v>-92.043217668399706</v>
      </c>
      <c r="M90" s="5">
        <f>N(21756)</f>
        <v>21756</v>
      </c>
      <c r="N90" s="30">
        <f>N(10000)</f>
        <v>10000</v>
      </c>
      <c r="O90" s="30">
        <f t="shared" si="22"/>
        <v>-11756</v>
      </c>
      <c r="P90" s="30"/>
      <c r="Q90" s="30">
        <f t="shared" si="23"/>
        <v>-117.56</v>
      </c>
      <c r="R90" s="32">
        <f>N(11328.7)</f>
        <v>11328.7</v>
      </c>
      <c r="S90" s="33">
        <f t="shared" si="24"/>
        <v>-10427.299999999999</v>
      </c>
      <c r="T90" s="34"/>
      <c r="U90" s="34">
        <f t="shared" si="25"/>
        <v>-92.043217668399706</v>
      </c>
    </row>
    <row r="91" spans="1:21" hidden="1" outlineLevel="2">
      <c r="A91" s="22"/>
      <c r="B91" s="28">
        <v>5920</v>
      </c>
      <c r="C91" s="29" t="s">
        <v>332</v>
      </c>
      <c r="D91" s="5">
        <f>N(0)</f>
        <v>0</v>
      </c>
      <c r="E91" s="30">
        <f>N(156087.02)</f>
        <v>156087.01999999999</v>
      </c>
      <c r="F91" s="30">
        <f t="shared" si="18"/>
        <v>156087.01999999999</v>
      </c>
      <c r="G91" s="30"/>
      <c r="H91" s="31">
        <f t="shared" si="19"/>
        <v>100</v>
      </c>
      <c r="I91" s="32">
        <f>N(175601.04)</f>
        <v>175601.04</v>
      </c>
      <c r="J91" s="30">
        <f t="shared" si="20"/>
        <v>175601.04</v>
      </c>
      <c r="K91" s="30"/>
      <c r="L91" s="30">
        <f t="shared" si="21"/>
        <v>100</v>
      </c>
      <c r="M91" s="5">
        <f>N(0)</f>
        <v>0</v>
      </c>
      <c r="N91" s="30">
        <f>N(156087.02)</f>
        <v>156087.01999999999</v>
      </c>
      <c r="O91" s="30">
        <f t="shared" si="22"/>
        <v>156087.01999999999</v>
      </c>
      <c r="P91" s="30"/>
      <c r="Q91" s="30">
        <f t="shared" si="23"/>
        <v>100</v>
      </c>
      <c r="R91" s="32">
        <f>N(175601.04)</f>
        <v>175601.04</v>
      </c>
      <c r="S91" s="33">
        <f t="shared" si="24"/>
        <v>175601.04</v>
      </c>
      <c r="T91" s="34"/>
      <c r="U91" s="34">
        <f t="shared" si="25"/>
        <v>100</v>
      </c>
    </row>
    <row r="92" spans="1:21" hidden="1" outlineLevel="2">
      <c r="A92" s="22"/>
      <c r="B92" s="28">
        <v>5942</v>
      </c>
      <c r="C92" s="29" t="s">
        <v>123</v>
      </c>
      <c r="D92" s="5">
        <f>N(-147653)</f>
        <v>-147653</v>
      </c>
      <c r="E92" s="30">
        <f>N(0)</f>
        <v>0</v>
      </c>
      <c r="F92" s="30">
        <f t="shared" si="18"/>
        <v>147653</v>
      </c>
      <c r="G92" s="30"/>
      <c r="H92" s="31">
        <f t="shared" si="19"/>
        <v>0</v>
      </c>
      <c r="I92" s="32">
        <f>N(0)</f>
        <v>0</v>
      </c>
      <c r="J92" s="30">
        <f t="shared" si="20"/>
        <v>147653</v>
      </c>
      <c r="K92" s="30"/>
      <c r="L92" s="30">
        <f t="shared" si="21"/>
        <v>0</v>
      </c>
      <c r="M92" s="5">
        <f>N(-147653)</f>
        <v>-147653</v>
      </c>
      <c r="N92" s="30">
        <f>N(0)</f>
        <v>0</v>
      </c>
      <c r="O92" s="30">
        <f t="shared" si="22"/>
        <v>147653</v>
      </c>
      <c r="P92" s="30"/>
      <c r="Q92" s="30">
        <f t="shared" si="23"/>
        <v>0</v>
      </c>
      <c r="R92" s="32">
        <f>N(0)</f>
        <v>0</v>
      </c>
      <c r="S92" s="33">
        <f t="shared" si="24"/>
        <v>147653</v>
      </c>
      <c r="T92" s="34"/>
      <c r="U92" s="34">
        <f t="shared" si="25"/>
        <v>0</v>
      </c>
    </row>
    <row r="93" spans="1:21" hidden="1" outlineLevel="2">
      <c r="A93" s="22"/>
      <c r="B93" s="28">
        <v>5947</v>
      </c>
      <c r="C93" s="29" t="s">
        <v>124</v>
      </c>
      <c r="D93" s="5">
        <f>N(742743.39)</f>
        <v>742743.39</v>
      </c>
      <c r="E93" s="30">
        <f>N(0)</f>
        <v>0</v>
      </c>
      <c r="F93" s="30">
        <f t="shared" si="18"/>
        <v>-742743.39</v>
      </c>
      <c r="G93" s="30"/>
      <c r="H93" s="31">
        <f t="shared" si="19"/>
        <v>0</v>
      </c>
      <c r="I93" s="32">
        <f>N(581952.83)</f>
        <v>581952.82999999996</v>
      </c>
      <c r="J93" s="30">
        <f t="shared" si="20"/>
        <v>-160790.56000000006</v>
      </c>
      <c r="K93" s="30"/>
      <c r="L93" s="30">
        <f t="shared" si="21"/>
        <v>-27.629483303655395</v>
      </c>
      <c r="M93" s="5">
        <f>N(742743.39)</f>
        <v>742743.39</v>
      </c>
      <c r="N93" s="30">
        <f>N(0)</f>
        <v>0</v>
      </c>
      <c r="O93" s="30">
        <f t="shared" si="22"/>
        <v>-742743.39</v>
      </c>
      <c r="P93" s="30"/>
      <c r="Q93" s="30">
        <f t="shared" si="23"/>
        <v>0</v>
      </c>
      <c r="R93" s="32">
        <f>N(581952.83)</f>
        <v>581952.82999999996</v>
      </c>
      <c r="S93" s="33">
        <f t="shared" si="24"/>
        <v>-160790.56000000006</v>
      </c>
      <c r="T93" s="34"/>
      <c r="U93" s="34">
        <f t="shared" si="25"/>
        <v>-27.629483303655395</v>
      </c>
    </row>
    <row r="94" spans="1:21" hidden="1" outlineLevel="2">
      <c r="A94" s="22"/>
      <c r="B94" s="28">
        <v>5949</v>
      </c>
      <c r="C94" s="29" t="s">
        <v>333</v>
      </c>
      <c r="D94" s="5">
        <f>N(0)</f>
        <v>0</v>
      </c>
      <c r="E94" s="30">
        <f>N(0)</f>
        <v>0</v>
      </c>
      <c r="F94" s="30">
        <f t="shared" si="18"/>
        <v>0</v>
      </c>
      <c r="G94" s="30"/>
      <c r="H94" s="31">
        <f t="shared" si="19"/>
        <v>0</v>
      </c>
      <c r="I94" s="32">
        <f>N(-65589.16)</f>
        <v>-65589.16</v>
      </c>
      <c r="J94" s="30">
        <f t="shared" si="20"/>
        <v>-65589.16</v>
      </c>
      <c r="K94" s="30"/>
      <c r="L94" s="30">
        <f t="shared" si="21"/>
        <v>100</v>
      </c>
      <c r="M94" s="5">
        <f>N(0)</f>
        <v>0</v>
      </c>
      <c r="N94" s="30">
        <f>N(0)</f>
        <v>0</v>
      </c>
      <c r="O94" s="30">
        <f t="shared" si="22"/>
        <v>0</v>
      </c>
      <c r="P94" s="30"/>
      <c r="Q94" s="30">
        <f t="shared" si="23"/>
        <v>0</v>
      </c>
      <c r="R94" s="32">
        <f>N(-65589.16)</f>
        <v>-65589.16</v>
      </c>
      <c r="S94" s="33">
        <f t="shared" si="24"/>
        <v>-65589.16</v>
      </c>
      <c r="T94" s="34"/>
      <c r="U94" s="34">
        <f t="shared" si="25"/>
        <v>100</v>
      </c>
    </row>
    <row r="95" spans="1:21" hidden="1" outlineLevel="2">
      <c r="A95" s="22"/>
      <c r="B95" s="28">
        <v>5960</v>
      </c>
      <c r="C95" s="29" t="s">
        <v>125</v>
      </c>
      <c r="D95" s="5">
        <f>N(15325.02)</f>
        <v>15325.02</v>
      </c>
      <c r="E95" s="30">
        <f>N(22571)</f>
        <v>22571</v>
      </c>
      <c r="F95" s="30">
        <f t="shared" si="18"/>
        <v>7245.98</v>
      </c>
      <c r="G95" s="30"/>
      <c r="H95" s="31">
        <f t="shared" si="19"/>
        <v>32.103052589606129</v>
      </c>
      <c r="I95" s="32">
        <f>N(14566.78)</f>
        <v>14566.78</v>
      </c>
      <c r="J95" s="30">
        <f t="shared" si="20"/>
        <v>-758.23999999999978</v>
      </c>
      <c r="K95" s="30"/>
      <c r="L95" s="30">
        <f t="shared" si="21"/>
        <v>-5.2052684258291793</v>
      </c>
      <c r="M95" s="5">
        <f>N(15325.02)</f>
        <v>15325.02</v>
      </c>
      <c r="N95" s="30">
        <f>N(22571)</f>
        <v>22571</v>
      </c>
      <c r="O95" s="30">
        <f t="shared" si="22"/>
        <v>7245.98</v>
      </c>
      <c r="P95" s="30"/>
      <c r="Q95" s="30">
        <f t="shared" si="23"/>
        <v>32.103052589606129</v>
      </c>
      <c r="R95" s="32">
        <f>N(14566.78)</f>
        <v>14566.78</v>
      </c>
      <c r="S95" s="33">
        <f t="shared" si="24"/>
        <v>-758.23999999999978</v>
      </c>
      <c r="T95" s="34"/>
      <c r="U95" s="34">
        <f t="shared" si="25"/>
        <v>-5.2052684258291793</v>
      </c>
    </row>
    <row r="96" spans="1:21" hidden="1" outlineLevel="2">
      <c r="A96" s="22"/>
      <c r="B96" s="28">
        <v>5990</v>
      </c>
      <c r="C96" s="29" t="s">
        <v>127</v>
      </c>
      <c r="D96" s="5">
        <f>N(82967.14)</f>
        <v>82967.14</v>
      </c>
      <c r="E96" s="30">
        <f>N(80000)</f>
        <v>80000</v>
      </c>
      <c r="F96" s="30">
        <f t="shared" si="18"/>
        <v>-2967.1399999999994</v>
      </c>
      <c r="G96" s="30"/>
      <c r="H96" s="31">
        <f t="shared" si="19"/>
        <v>-3.7089249999999994</v>
      </c>
      <c r="I96" s="32">
        <f>N(46175.8)</f>
        <v>46175.8</v>
      </c>
      <c r="J96" s="30">
        <f t="shared" si="20"/>
        <v>-36791.339999999997</v>
      </c>
      <c r="K96" s="30"/>
      <c r="L96" s="30">
        <f t="shared" si="21"/>
        <v>-79.676670463749389</v>
      </c>
      <c r="M96" s="5">
        <f>N(82967.14)</f>
        <v>82967.14</v>
      </c>
      <c r="N96" s="30">
        <f>N(80000)</f>
        <v>80000</v>
      </c>
      <c r="O96" s="30">
        <f t="shared" si="22"/>
        <v>-2967.1399999999994</v>
      </c>
      <c r="P96" s="30"/>
      <c r="Q96" s="30">
        <f t="shared" si="23"/>
        <v>-3.7089249999999994</v>
      </c>
      <c r="R96" s="32">
        <f>N(46175.8)</f>
        <v>46175.8</v>
      </c>
      <c r="S96" s="33">
        <f t="shared" si="24"/>
        <v>-36791.339999999997</v>
      </c>
      <c r="T96" s="34"/>
      <c r="U96" s="34">
        <f t="shared" si="25"/>
        <v>-79.676670463749389</v>
      </c>
    </row>
    <row r="97" spans="1:21" hidden="1" outlineLevel="2">
      <c r="A97" s="22"/>
      <c r="B97" s="28">
        <v>5995</v>
      </c>
      <c r="C97" s="29" t="s">
        <v>128</v>
      </c>
      <c r="D97" s="5">
        <f>N(0)</f>
        <v>0</v>
      </c>
      <c r="E97" s="30">
        <f>N(988.6)</f>
        <v>988.6</v>
      </c>
      <c r="F97" s="30">
        <f t="shared" si="18"/>
        <v>988.6</v>
      </c>
      <c r="G97" s="30"/>
      <c r="H97" s="31">
        <f t="shared" si="19"/>
        <v>100</v>
      </c>
      <c r="I97" s="32">
        <f>N(-53390.88)</f>
        <v>-53390.879999999997</v>
      </c>
      <c r="J97" s="30">
        <f t="shared" si="20"/>
        <v>-53390.879999999997</v>
      </c>
      <c r="K97" s="30"/>
      <c r="L97" s="30">
        <f t="shared" si="21"/>
        <v>100</v>
      </c>
      <c r="M97" s="5">
        <f>N(0)</f>
        <v>0</v>
      </c>
      <c r="N97" s="30">
        <f>N(988.6)</f>
        <v>988.6</v>
      </c>
      <c r="O97" s="30">
        <f t="shared" si="22"/>
        <v>988.6</v>
      </c>
      <c r="P97" s="30"/>
      <c r="Q97" s="30">
        <f t="shared" si="23"/>
        <v>100</v>
      </c>
      <c r="R97" s="32">
        <f>N(-53390.88)</f>
        <v>-53390.879999999997</v>
      </c>
      <c r="S97" s="33">
        <f t="shared" si="24"/>
        <v>-53390.879999999997</v>
      </c>
      <c r="T97" s="34"/>
      <c r="U97" s="34">
        <f t="shared" si="25"/>
        <v>100</v>
      </c>
    </row>
    <row r="98" spans="1:21" hidden="1" outlineLevel="2">
      <c r="A98" s="22"/>
      <c r="B98" s="28">
        <v>5999</v>
      </c>
      <c r="C98" s="29" t="s">
        <v>129</v>
      </c>
      <c r="D98" s="5">
        <f>N(0)</f>
        <v>0</v>
      </c>
      <c r="E98" s="30">
        <f>N(0)</f>
        <v>0</v>
      </c>
      <c r="F98" s="30">
        <f t="shared" si="18"/>
        <v>0</v>
      </c>
      <c r="G98" s="30"/>
      <c r="H98" s="31">
        <f t="shared" si="19"/>
        <v>0</v>
      </c>
      <c r="I98" s="32">
        <f>N(0)</f>
        <v>0</v>
      </c>
      <c r="J98" s="30">
        <f t="shared" si="20"/>
        <v>0</v>
      </c>
      <c r="K98" s="30"/>
      <c r="L98" s="30">
        <f t="shared" si="21"/>
        <v>0</v>
      </c>
      <c r="M98" s="5">
        <f>N(0)</f>
        <v>0</v>
      </c>
      <c r="N98" s="30">
        <f>N(0)</f>
        <v>0</v>
      </c>
      <c r="O98" s="30">
        <f t="shared" si="22"/>
        <v>0</v>
      </c>
      <c r="P98" s="30"/>
      <c r="Q98" s="30">
        <f t="shared" si="23"/>
        <v>0</v>
      </c>
      <c r="R98" s="32">
        <f>N(0)</f>
        <v>0</v>
      </c>
      <c r="S98" s="33">
        <f t="shared" si="24"/>
        <v>0</v>
      </c>
      <c r="T98" s="34"/>
      <c r="U98" s="34">
        <f t="shared" si="25"/>
        <v>0</v>
      </c>
    </row>
    <row r="99" spans="1:21" hidden="1" outlineLevel="1">
      <c r="A99" s="22"/>
      <c r="B99" s="35" t="str">
        <f>"    "&amp;"Annen personalkostnad"</f>
        <v xml:space="preserve">    Annen personalkostnad</v>
      </c>
      <c r="C99" s="36"/>
      <c r="D99" s="37">
        <f>SUM(D89:D98)</f>
        <v>719545.55</v>
      </c>
      <c r="E99" s="33">
        <f>SUM(E89:E98)</f>
        <v>269646.62</v>
      </c>
      <c r="F99" s="33">
        <f t="shared" si="18"/>
        <v>-449898.93000000005</v>
      </c>
      <c r="G99" s="33"/>
      <c r="H99" s="38">
        <f t="shared" si="19"/>
        <v>-166.8476059518195</v>
      </c>
      <c r="I99" s="39">
        <f>SUM(I89:I98)</f>
        <v>710844.11</v>
      </c>
      <c r="J99" s="33">
        <f t="shared" si="20"/>
        <v>-8701.4400000000605</v>
      </c>
      <c r="K99" s="33"/>
      <c r="L99" s="33">
        <f t="shared" si="21"/>
        <v>-1.224099613064257</v>
      </c>
      <c r="M99" s="37">
        <f>SUM(M89:M98)</f>
        <v>719545.55</v>
      </c>
      <c r="N99" s="33">
        <f>SUM(N89:N98)</f>
        <v>269646.62</v>
      </c>
      <c r="O99" s="33">
        <f t="shared" si="22"/>
        <v>-449898.93000000005</v>
      </c>
      <c r="P99" s="33"/>
      <c r="Q99" s="33">
        <f t="shared" si="23"/>
        <v>-166.8476059518195</v>
      </c>
      <c r="R99" s="39">
        <f>SUM(R89:R98)</f>
        <v>710844.11</v>
      </c>
      <c r="S99" s="33">
        <f t="shared" si="24"/>
        <v>-8701.4400000000605</v>
      </c>
      <c r="T99" s="34"/>
      <c r="U99" s="34">
        <f t="shared" si="25"/>
        <v>-1.224099613064257</v>
      </c>
    </row>
    <row r="100" spans="1:21" hidden="1" outlineLevel="2">
      <c r="A100" s="22"/>
      <c r="B100" s="28">
        <v>5310</v>
      </c>
      <c r="C100" s="29" t="s">
        <v>130</v>
      </c>
      <c r="D100" s="5">
        <f>N(0)</f>
        <v>0</v>
      </c>
      <c r="E100" s="30">
        <f>N(871743.19)</f>
        <v>871743.19</v>
      </c>
      <c r="F100" s="30">
        <f t="shared" si="18"/>
        <v>871743.19</v>
      </c>
      <c r="G100" s="30"/>
      <c r="H100" s="31">
        <f t="shared" si="19"/>
        <v>100</v>
      </c>
      <c r="I100" s="32">
        <f>N(840747.96)</f>
        <v>840747.96</v>
      </c>
      <c r="J100" s="30">
        <f t="shared" si="20"/>
        <v>840747.96</v>
      </c>
      <c r="K100" s="30"/>
      <c r="L100" s="30">
        <f t="shared" si="21"/>
        <v>100</v>
      </c>
      <c r="M100" s="5">
        <f>N(0)</f>
        <v>0</v>
      </c>
      <c r="N100" s="30">
        <f>N(871743.19)</f>
        <v>871743.19</v>
      </c>
      <c r="O100" s="30">
        <f t="shared" si="22"/>
        <v>871743.19</v>
      </c>
      <c r="P100" s="30"/>
      <c r="Q100" s="30">
        <f t="shared" si="23"/>
        <v>100</v>
      </c>
      <c r="R100" s="32">
        <f>N(840747.96)</f>
        <v>840747.96</v>
      </c>
      <c r="S100" s="33">
        <f t="shared" si="24"/>
        <v>840747.96</v>
      </c>
      <c r="T100" s="34"/>
      <c r="U100" s="34">
        <f t="shared" si="25"/>
        <v>100</v>
      </c>
    </row>
    <row r="101" spans="1:21" hidden="1" outlineLevel="2">
      <c r="A101" s="22"/>
      <c r="B101" s="28">
        <v>5311</v>
      </c>
      <c r="C101" s="29" t="s">
        <v>131</v>
      </c>
      <c r="D101" s="5">
        <f>N(0)</f>
        <v>0</v>
      </c>
      <c r="E101" s="30">
        <f>N(-741276.19)</f>
        <v>-741276.19</v>
      </c>
      <c r="F101" s="30">
        <f t="shared" si="18"/>
        <v>-741276.19</v>
      </c>
      <c r="G101" s="30"/>
      <c r="H101" s="31">
        <f t="shared" si="19"/>
        <v>100.00000000000001</v>
      </c>
      <c r="I101" s="32">
        <f>N(-740630.29)</f>
        <v>-740630.29</v>
      </c>
      <c r="J101" s="30">
        <f t="shared" si="20"/>
        <v>-740630.29</v>
      </c>
      <c r="K101" s="30"/>
      <c r="L101" s="30">
        <f t="shared" si="21"/>
        <v>100</v>
      </c>
      <c r="M101" s="5">
        <f>N(0)</f>
        <v>0</v>
      </c>
      <c r="N101" s="30">
        <f>N(-741276.19)</f>
        <v>-741276.19</v>
      </c>
      <c r="O101" s="30">
        <f t="shared" si="22"/>
        <v>-741276.19</v>
      </c>
      <c r="P101" s="30"/>
      <c r="Q101" s="30">
        <f t="shared" si="23"/>
        <v>100.00000000000001</v>
      </c>
      <c r="R101" s="32">
        <f>N(-740630.29)</f>
        <v>-740630.29</v>
      </c>
      <c r="S101" s="33">
        <f t="shared" si="24"/>
        <v>-740630.29</v>
      </c>
      <c r="T101" s="34"/>
      <c r="U101" s="34">
        <f t="shared" si="25"/>
        <v>100</v>
      </c>
    </row>
    <row r="102" spans="1:21" hidden="1" outlineLevel="2">
      <c r="A102" s="22"/>
      <c r="B102" s="28">
        <v>5324</v>
      </c>
      <c r="C102" s="29" t="s">
        <v>132</v>
      </c>
      <c r="D102" s="5">
        <f>N(2347)</f>
        <v>2347</v>
      </c>
      <c r="E102" s="30">
        <f>N(222263.88)</f>
        <v>222263.88</v>
      </c>
      <c r="F102" s="30">
        <f t="shared" si="18"/>
        <v>219916.88</v>
      </c>
      <c r="G102" s="30"/>
      <c r="H102" s="31">
        <f t="shared" si="19"/>
        <v>98.944047948771527</v>
      </c>
      <c r="I102" s="32">
        <f>N(196455.96)</f>
        <v>196455.96</v>
      </c>
      <c r="J102" s="30">
        <f t="shared" si="20"/>
        <v>194108.96</v>
      </c>
      <c r="K102" s="30"/>
      <c r="L102" s="30">
        <f t="shared" si="21"/>
        <v>98.805330212430306</v>
      </c>
      <c r="M102" s="5">
        <f>N(2347)</f>
        <v>2347</v>
      </c>
      <c r="N102" s="30">
        <f>N(222263.88)</f>
        <v>222263.88</v>
      </c>
      <c r="O102" s="30">
        <f t="shared" si="22"/>
        <v>219916.88</v>
      </c>
      <c r="P102" s="30"/>
      <c r="Q102" s="30">
        <f t="shared" si="23"/>
        <v>98.944047948771527</v>
      </c>
      <c r="R102" s="32">
        <f>N(196455.96)</f>
        <v>196455.96</v>
      </c>
      <c r="S102" s="33">
        <f t="shared" si="24"/>
        <v>194108.96</v>
      </c>
      <c r="T102" s="34"/>
      <c r="U102" s="34">
        <f t="shared" si="25"/>
        <v>98.805330212430306</v>
      </c>
    </row>
    <row r="103" spans="1:21" hidden="1" outlineLevel="2">
      <c r="A103" s="22"/>
      <c r="B103" s="28">
        <v>5325</v>
      </c>
      <c r="C103" s="29" t="s">
        <v>133</v>
      </c>
      <c r="D103" s="5">
        <f t="shared" ref="D103:E110" si="26">N(0)</f>
        <v>0</v>
      </c>
      <c r="E103" s="30">
        <f>N(-193373.04)</f>
        <v>-193373.04</v>
      </c>
      <c r="F103" s="30">
        <f t="shared" si="18"/>
        <v>-193373.04</v>
      </c>
      <c r="G103" s="30"/>
      <c r="H103" s="31">
        <f t="shared" si="19"/>
        <v>100</v>
      </c>
      <c r="I103" s="32">
        <f>N(-174639.96)</f>
        <v>-174639.96</v>
      </c>
      <c r="J103" s="30">
        <f t="shared" si="20"/>
        <v>-174639.96</v>
      </c>
      <c r="K103" s="30"/>
      <c r="L103" s="30">
        <f t="shared" si="21"/>
        <v>100</v>
      </c>
      <c r="M103" s="5">
        <f t="shared" ref="M103:N110" si="27">N(0)</f>
        <v>0</v>
      </c>
      <c r="N103" s="30">
        <f>N(-193373.04)</f>
        <v>-193373.04</v>
      </c>
      <c r="O103" s="30">
        <f t="shared" si="22"/>
        <v>-193373.04</v>
      </c>
      <c r="P103" s="30"/>
      <c r="Q103" s="30">
        <f t="shared" si="23"/>
        <v>100</v>
      </c>
      <c r="R103" s="32">
        <f>N(-174639.96)</f>
        <v>-174639.96</v>
      </c>
      <c r="S103" s="33">
        <f t="shared" si="24"/>
        <v>-174639.96</v>
      </c>
      <c r="T103" s="34"/>
      <c r="U103" s="34">
        <f t="shared" si="25"/>
        <v>100</v>
      </c>
    </row>
    <row r="104" spans="1:21" hidden="1" outlineLevel="2">
      <c r="A104" s="22"/>
      <c r="B104" s="28">
        <v>5921</v>
      </c>
      <c r="C104" s="29" t="s">
        <v>134</v>
      </c>
      <c r="D104" s="5">
        <f t="shared" si="26"/>
        <v>0</v>
      </c>
      <c r="E104" s="30">
        <f>N(-111639.14)</f>
        <v>-111639.14</v>
      </c>
      <c r="F104" s="30">
        <f t="shared" si="18"/>
        <v>-111639.14</v>
      </c>
      <c r="G104" s="30"/>
      <c r="H104" s="31">
        <f t="shared" si="19"/>
        <v>100</v>
      </c>
      <c r="I104" s="32">
        <f>N(-146140.21)</f>
        <v>-146140.21</v>
      </c>
      <c r="J104" s="30">
        <f t="shared" si="20"/>
        <v>-146140.21</v>
      </c>
      <c r="K104" s="30"/>
      <c r="L104" s="30">
        <f t="shared" si="21"/>
        <v>100</v>
      </c>
      <c r="M104" s="5">
        <f t="shared" si="27"/>
        <v>0</v>
      </c>
      <c r="N104" s="30">
        <f>N(-111639.14)</f>
        <v>-111639.14</v>
      </c>
      <c r="O104" s="30">
        <f t="shared" si="22"/>
        <v>-111639.14</v>
      </c>
      <c r="P104" s="30"/>
      <c r="Q104" s="30">
        <f t="shared" si="23"/>
        <v>100</v>
      </c>
      <c r="R104" s="32">
        <f>N(-146140.21)</f>
        <v>-146140.21</v>
      </c>
      <c r="S104" s="33">
        <f t="shared" si="24"/>
        <v>-146140.21</v>
      </c>
      <c r="T104" s="34"/>
      <c r="U104" s="34">
        <f t="shared" si="25"/>
        <v>100</v>
      </c>
    </row>
    <row r="105" spans="1:21" hidden="1" outlineLevel="2">
      <c r="A105" s="22"/>
      <c r="B105" s="28">
        <v>5930</v>
      </c>
      <c r="C105" s="29" t="s">
        <v>135</v>
      </c>
      <c r="D105" s="5">
        <f t="shared" si="26"/>
        <v>0</v>
      </c>
      <c r="E105" s="30">
        <f t="shared" si="26"/>
        <v>0</v>
      </c>
      <c r="F105" s="30">
        <f t="shared" si="18"/>
        <v>0</v>
      </c>
      <c r="G105" s="30"/>
      <c r="H105" s="31">
        <f t="shared" si="19"/>
        <v>0</v>
      </c>
      <c r="I105" s="32">
        <f>N(0)</f>
        <v>0</v>
      </c>
      <c r="J105" s="30">
        <f t="shared" si="20"/>
        <v>0</v>
      </c>
      <c r="K105" s="30"/>
      <c r="L105" s="30">
        <f t="shared" si="21"/>
        <v>0</v>
      </c>
      <c r="M105" s="5">
        <f t="shared" si="27"/>
        <v>0</v>
      </c>
      <c r="N105" s="30">
        <f t="shared" si="27"/>
        <v>0</v>
      </c>
      <c r="O105" s="30">
        <f t="shared" si="22"/>
        <v>0</v>
      </c>
      <c r="P105" s="30"/>
      <c r="Q105" s="30">
        <f t="shared" si="23"/>
        <v>0</v>
      </c>
      <c r="R105" s="32">
        <f>N(0)</f>
        <v>0</v>
      </c>
      <c r="S105" s="33">
        <f t="shared" si="24"/>
        <v>0</v>
      </c>
      <c r="T105" s="34"/>
      <c r="U105" s="34">
        <f t="shared" si="25"/>
        <v>0</v>
      </c>
    </row>
    <row r="106" spans="1:21" hidden="1" outlineLevel="2">
      <c r="A106" s="22"/>
      <c r="B106" s="28">
        <v>5931</v>
      </c>
      <c r="C106" s="29" t="s">
        <v>136</v>
      </c>
      <c r="D106" s="5">
        <f t="shared" si="26"/>
        <v>0</v>
      </c>
      <c r="E106" s="30">
        <f t="shared" si="26"/>
        <v>0</v>
      </c>
      <c r="F106" s="30">
        <f t="shared" si="18"/>
        <v>0</v>
      </c>
      <c r="G106" s="30"/>
      <c r="H106" s="31">
        <f t="shared" si="19"/>
        <v>0</v>
      </c>
      <c r="I106" s="32">
        <f>N(0)</f>
        <v>0</v>
      </c>
      <c r="J106" s="30">
        <f t="shared" si="20"/>
        <v>0</v>
      </c>
      <c r="K106" s="30"/>
      <c r="L106" s="30">
        <f t="shared" si="21"/>
        <v>0</v>
      </c>
      <c r="M106" s="5">
        <f t="shared" si="27"/>
        <v>0</v>
      </c>
      <c r="N106" s="30">
        <f t="shared" si="27"/>
        <v>0</v>
      </c>
      <c r="O106" s="30">
        <f t="shared" si="22"/>
        <v>0</v>
      </c>
      <c r="P106" s="30"/>
      <c r="Q106" s="30">
        <f t="shared" si="23"/>
        <v>0</v>
      </c>
      <c r="R106" s="32">
        <f>N(0)</f>
        <v>0</v>
      </c>
      <c r="S106" s="33">
        <f t="shared" si="24"/>
        <v>0</v>
      </c>
      <c r="T106" s="34"/>
      <c r="U106" s="34">
        <f t="shared" si="25"/>
        <v>0</v>
      </c>
    </row>
    <row r="107" spans="1:21" hidden="1" outlineLevel="2">
      <c r="A107" s="22"/>
      <c r="B107" s="28">
        <v>5940</v>
      </c>
      <c r="C107" s="29" t="s">
        <v>137</v>
      </c>
      <c r="D107" s="5">
        <f t="shared" si="26"/>
        <v>0</v>
      </c>
      <c r="E107" s="30">
        <f t="shared" si="26"/>
        <v>0</v>
      </c>
      <c r="F107" s="30">
        <f t="shared" si="18"/>
        <v>0</v>
      </c>
      <c r="G107" s="30"/>
      <c r="H107" s="31">
        <f t="shared" si="19"/>
        <v>0</v>
      </c>
      <c r="I107" s="32">
        <f>N(0)</f>
        <v>0</v>
      </c>
      <c r="J107" s="30">
        <f t="shared" si="20"/>
        <v>0</v>
      </c>
      <c r="K107" s="30"/>
      <c r="L107" s="30">
        <f t="shared" si="21"/>
        <v>0</v>
      </c>
      <c r="M107" s="5">
        <f t="shared" si="27"/>
        <v>0</v>
      </c>
      <c r="N107" s="30">
        <f t="shared" si="27"/>
        <v>0</v>
      </c>
      <c r="O107" s="30">
        <f t="shared" si="22"/>
        <v>0</v>
      </c>
      <c r="P107" s="30"/>
      <c r="Q107" s="30">
        <f t="shared" si="23"/>
        <v>0</v>
      </c>
      <c r="R107" s="32">
        <f>N(0)</f>
        <v>0</v>
      </c>
      <c r="S107" s="33">
        <f t="shared" si="24"/>
        <v>0</v>
      </c>
      <c r="T107" s="34"/>
      <c r="U107" s="34">
        <f t="shared" si="25"/>
        <v>0</v>
      </c>
    </row>
    <row r="108" spans="1:21" hidden="1" outlineLevel="2">
      <c r="A108" s="22"/>
      <c r="B108" s="28">
        <v>5944</v>
      </c>
      <c r="C108" s="29" t="s">
        <v>138</v>
      </c>
      <c r="D108" s="5">
        <f t="shared" si="26"/>
        <v>0</v>
      </c>
      <c r="E108" s="30">
        <f>N(4029469.580008)</f>
        <v>4029469.5800080001</v>
      </c>
      <c r="F108" s="30">
        <f t="shared" si="18"/>
        <v>4029469.5800080001</v>
      </c>
      <c r="G108" s="30"/>
      <c r="H108" s="31">
        <f t="shared" si="19"/>
        <v>100</v>
      </c>
      <c r="I108" s="32">
        <f>N(3502995.7)</f>
        <v>3502995.7</v>
      </c>
      <c r="J108" s="30">
        <f t="shared" si="20"/>
        <v>3502995.7</v>
      </c>
      <c r="K108" s="30"/>
      <c r="L108" s="30">
        <f t="shared" si="21"/>
        <v>100</v>
      </c>
      <c r="M108" s="5">
        <f t="shared" si="27"/>
        <v>0</v>
      </c>
      <c r="N108" s="30">
        <f>N(4029469.580008)</f>
        <v>4029469.5800080001</v>
      </c>
      <c r="O108" s="30">
        <f t="shared" si="22"/>
        <v>4029469.5800080001</v>
      </c>
      <c r="P108" s="30"/>
      <c r="Q108" s="30">
        <f t="shared" si="23"/>
        <v>100</v>
      </c>
      <c r="R108" s="32">
        <f>N(3502995.7)</f>
        <v>3502995.7</v>
      </c>
      <c r="S108" s="33">
        <f t="shared" si="24"/>
        <v>3502995.7</v>
      </c>
      <c r="T108" s="34"/>
      <c r="U108" s="34">
        <f t="shared" si="25"/>
        <v>100</v>
      </c>
    </row>
    <row r="109" spans="1:21" hidden="1" outlineLevel="2">
      <c r="A109" s="22"/>
      <c r="B109" s="28">
        <v>5948</v>
      </c>
      <c r="C109" s="29" t="s">
        <v>139</v>
      </c>
      <c r="D109" s="5">
        <f t="shared" si="26"/>
        <v>0</v>
      </c>
      <c r="E109" s="30">
        <f>N(-3284968.24)</f>
        <v>-3284968.24</v>
      </c>
      <c r="F109" s="30">
        <f t="shared" si="18"/>
        <v>-3284968.24</v>
      </c>
      <c r="G109" s="30"/>
      <c r="H109" s="31">
        <f t="shared" si="19"/>
        <v>100</v>
      </c>
      <c r="I109" s="32">
        <f>N(-3437406.54)</f>
        <v>-3437406.54</v>
      </c>
      <c r="J109" s="30">
        <f t="shared" si="20"/>
        <v>-3437406.54</v>
      </c>
      <c r="K109" s="30"/>
      <c r="L109" s="30">
        <f t="shared" si="21"/>
        <v>100</v>
      </c>
      <c r="M109" s="5">
        <f t="shared" si="27"/>
        <v>0</v>
      </c>
      <c r="N109" s="30">
        <f>N(-3284968.24)</f>
        <v>-3284968.24</v>
      </c>
      <c r="O109" s="30">
        <f t="shared" si="22"/>
        <v>-3284968.24</v>
      </c>
      <c r="P109" s="30"/>
      <c r="Q109" s="30">
        <f t="shared" si="23"/>
        <v>100</v>
      </c>
      <c r="R109" s="32">
        <f>N(-3437406.54)</f>
        <v>-3437406.54</v>
      </c>
      <c r="S109" s="33">
        <f t="shared" si="24"/>
        <v>-3437406.54</v>
      </c>
      <c r="T109" s="34"/>
      <c r="U109" s="34">
        <f t="shared" si="25"/>
        <v>100</v>
      </c>
    </row>
    <row r="110" spans="1:21" hidden="1" outlineLevel="2">
      <c r="A110" s="22"/>
      <c r="B110" s="28">
        <v>5994</v>
      </c>
      <c r="C110" s="29" t="s">
        <v>140</v>
      </c>
      <c r="D110" s="5">
        <f t="shared" si="26"/>
        <v>0</v>
      </c>
      <c r="E110" s="30">
        <f>N(0)</f>
        <v>0</v>
      </c>
      <c r="F110" s="30">
        <f>-D110+E110</f>
        <v>0</v>
      </c>
      <c r="G110" s="30"/>
      <c r="H110" s="31">
        <f>IF(E110=0,0,F110*100/E110)</f>
        <v>0</v>
      </c>
      <c r="I110" s="32">
        <f>N(0)</f>
        <v>0</v>
      </c>
      <c r="J110" s="30">
        <f>-D110+I110</f>
        <v>0</v>
      </c>
      <c r="K110" s="30"/>
      <c r="L110" s="30">
        <f>IF(I110=0,0,J110*100/I110)</f>
        <v>0</v>
      </c>
      <c r="M110" s="5">
        <f t="shared" si="27"/>
        <v>0</v>
      </c>
      <c r="N110" s="30">
        <f>N(0)</f>
        <v>0</v>
      </c>
      <c r="O110" s="30">
        <f>-M110+N110</f>
        <v>0</v>
      </c>
      <c r="P110" s="30"/>
      <c r="Q110" s="30">
        <f>IF(N110=0,0,O110*100/N110)</f>
        <v>0</v>
      </c>
      <c r="R110" s="32">
        <f>N(0)</f>
        <v>0</v>
      </c>
      <c r="S110" s="33">
        <f>-M110+R110</f>
        <v>0</v>
      </c>
      <c r="T110" s="34"/>
      <c r="U110" s="34">
        <f>IF(R110=0,0,S110*100/R110)</f>
        <v>0</v>
      </c>
    </row>
    <row r="111" spans="1:21" hidden="1" outlineLevel="1">
      <c r="A111" s="22"/>
      <c r="B111" s="35" t="str">
        <f>"    "&amp;"Pensjon og forsikring Cornerstone"</f>
        <v xml:space="preserve">    Pensjon og forsikring Cornerstone</v>
      </c>
      <c r="C111" s="36"/>
      <c r="D111" s="37">
        <f>SUM(D100:D110)</f>
        <v>2347</v>
      </c>
      <c r="E111" s="33">
        <f>SUM(E100:E110)</f>
        <v>792220.0400080001</v>
      </c>
      <c r="F111" s="33">
        <f>-D111+E111</f>
        <v>789873.0400080001</v>
      </c>
      <c r="G111" s="33"/>
      <c r="H111" s="38">
        <f>IF(E111=0,0,F111*100/E111)</f>
        <v>99.703743924481358</v>
      </c>
      <c r="I111" s="39">
        <f>SUM(I100:I110)</f>
        <v>41382.620000000112</v>
      </c>
      <c r="J111" s="33">
        <f>-D111+I111</f>
        <v>39035.620000000112</v>
      </c>
      <c r="K111" s="33"/>
      <c r="L111" s="33">
        <f>IF(I111=0,0,J111*100/I111)</f>
        <v>94.328536955852499</v>
      </c>
      <c r="M111" s="37">
        <f>SUM(M100:M110)</f>
        <v>2347</v>
      </c>
      <c r="N111" s="33">
        <f>SUM(N100:N110)</f>
        <v>792220.0400080001</v>
      </c>
      <c r="O111" s="33">
        <f>-M111+N111</f>
        <v>789873.0400080001</v>
      </c>
      <c r="P111" s="33"/>
      <c r="Q111" s="33">
        <f>IF(N111=0,0,O111*100/N111)</f>
        <v>99.703743924481358</v>
      </c>
      <c r="R111" s="39">
        <f>SUM(R100:R110)</f>
        <v>41382.620000000112</v>
      </c>
      <c r="S111" s="33">
        <f>-M111+R111</f>
        <v>39035.620000000112</v>
      </c>
      <c r="T111" s="34"/>
      <c r="U111" s="34">
        <f>IF(R111=0,0,S111*100/R111)</f>
        <v>94.328536955852499</v>
      </c>
    </row>
    <row r="112" spans="1:21" collapsed="1">
      <c r="A112" s="22"/>
      <c r="B112" s="41" t="s">
        <v>17</v>
      </c>
      <c r="C112" s="42"/>
      <c r="D112" s="43">
        <f ca="1">SUM(OSRRefD18_1x_0)</f>
        <v>16254199.320000002</v>
      </c>
      <c r="E112" s="44">
        <f ca="1">SUM(OSRRefE18_1x_0)</f>
        <v>18126698.185249001</v>
      </c>
      <c r="F112" s="44">
        <f t="shared" ref="F112:F175" ca="1" si="28">-D112+E112</f>
        <v>1872498.8652489986</v>
      </c>
      <c r="G112" s="44"/>
      <c r="H112" s="45">
        <f t="shared" ref="H112:H175" ca="1" si="29">IF(E112=0,0,F112*100/E112)</f>
        <v>10.330060367931683</v>
      </c>
      <c r="I112" s="46">
        <f ca="1">SUM(OSRRefI18_1x_0)</f>
        <v>14529091.930000003</v>
      </c>
      <c r="J112" s="44">
        <f t="shared" ref="J112:J175" ca="1" si="30">-D112+I112</f>
        <v>-1725107.3899999987</v>
      </c>
      <c r="K112" s="44"/>
      <c r="L112" s="44">
        <f t="shared" ref="L112:L175" ca="1" si="31">IF(I112=0,0,J112*100/I112)</f>
        <v>-11.873470126773425</v>
      </c>
      <c r="M112" s="43">
        <f ca="1">SUM(OSRRefM18_1x_0)</f>
        <v>16254199.320000002</v>
      </c>
      <c r="N112" s="44">
        <f ca="1">SUM(OSRRefN18_1x_0)</f>
        <v>18126698.185249001</v>
      </c>
      <c r="O112" s="44">
        <f t="shared" ref="O112:O175" ca="1" si="32">-M112+N112</f>
        <v>1872498.8652489986</v>
      </c>
      <c r="P112" s="44"/>
      <c r="Q112" s="44">
        <f t="shared" ref="Q112:Q175" ca="1" si="33">IF(N112=0,0,O112*100/N112)</f>
        <v>10.330060367931683</v>
      </c>
      <c r="R112" s="46">
        <f ca="1">SUM(OSRRefR18_1x_0)</f>
        <v>14529091.930000003</v>
      </c>
      <c r="S112" s="44">
        <f t="shared" ref="S112:S175" ca="1" si="34">-M112+R112</f>
        <v>-1725107.3899999987</v>
      </c>
      <c r="T112" s="47"/>
      <c r="U112" s="47">
        <f t="shared" ref="U112:U175" ca="1" si="35">IF(R112=0,0,S112*100/R112)</f>
        <v>-11.873470126773425</v>
      </c>
    </row>
    <row r="113" spans="1:21" hidden="1" outlineLevel="2">
      <c r="A113" s="22"/>
      <c r="B113" s="28">
        <v>6017</v>
      </c>
      <c r="C113" s="29" t="s">
        <v>141</v>
      </c>
      <c r="D113" s="5">
        <f>N(105229.91)</f>
        <v>105229.91</v>
      </c>
      <c r="E113" s="30">
        <f>N(0)</f>
        <v>0</v>
      </c>
      <c r="F113" s="30">
        <f t="shared" si="28"/>
        <v>-105229.91</v>
      </c>
      <c r="G113" s="30"/>
      <c r="H113" s="31">
        <f t="shared" si="29"/>
        <v>0</v>
      </c>
      <c r="I113" s="32">
        <f>N(105229.8)</f>
        <v>105229.8</v>
      </c>
      <c r="J113" s="30">
        <f t="shared" si="30"/>
        <v>-0.11000000000058208</v>
      </c>
      <c r="K113" s="30"/>
      <c r="L113" s="30">
        <f t="shared" si="31"/>
        <v>-1.0453312654835614E-4</v>
      </c>
      <c r="M113" s="5">
        <f>N(105229.91)</f>
        <v>105229.91</v>
      </c>
      <c r="N113" s="30">
        <f>N(0)</f>
        <v>0</v>
      </c>
      <c r="O113" s="30">
        <f t="shared" si="32"/>
        <v>-105229.91</v>
      </c>
      <c r="P113" s="30"/>
      <c r="Q113" s="30">
        <f t="shared" si="33"/>
        <v>0</v>
      </c>
      <c r="R113" s="32">
        <f>N(105229.8)</f>
        <v>105229.8</v>
      </c>
      <c r="S113" s="33">
        <f t="shared" si="34"/>
        <v>-0.11000000000058208</v>
      </c>
      <c r="T113" s="34"/>
      <c r="U113" s="34">
        <f t="shared" si="35"/>
        <v>-1.0453312654835614E-4</v>
      </c>
    </row>
    <row r="114" spans="1:21" hidden="1" outlineLevel="1">
      <c r="A114" s="22"/>
      <c r="B114" s="35" t="str">
        <f>"    "&amp;"Av- og nedskrivning"</f>
        <v xml:space="preserve">    Av- og nedskrivning</v>
      </c>
      <c r="C114" s="36"/>
      <c r="D114" s="37">
        <f>SUM(D113)</f>
        <v>105229.91</v>
      </c>
      <c r="E114" s="33">
        <f>SUM(E113)</f>
        <v>0</v>
      </c>
      <c r="F114" s="33">
        <f t="shared" si="28"/>
        <v>-105229.91</v>
      </c>
      <c r="G114" s="33"/>
      <c r="H114" s="38">
        <f t="shared" si="29"/>
        <v>0</v>
      </c>
      <c r="I114" s="39">
        <f>SUM(I113)</f>
        <v>105229.8</v>
      </c>
      <c r="J114" s="33">
        <f t="shared" si="30"/>
        <v>-0.11000000000058208</v>
      </c>
      <c r="K114" s="33"/>
      <c r="L114" s="33">
        <f t="shared" si="31"/>
        <v>-1.0453312654835614E-4</v>
      </c>
      <c r="M114" s="37">
        <f>SUM(M113)</f>
        <v>105229.91</v>
      </c>
      <c r="N114" s="33">
        <f>SUM(N113)</f>
        <v>0</v>
      </c>
      <c r="O114" s="33">
        <f t="shared" si="32"/>
        <v>-105229.91</v>
      </c>
      <c r="P114" s="33"/>
      <c r="Q114" s="33">
        <f t="shared" si="33"/>
        <v>0</v>
      </c>
      <c r="R114" s="39">
        <f>SUM(R113)</f>
        <v>105229.8</v>
      </c>
      <c r="S114" s="33">
        <f t="shared" si="34"/>
        <v>-0.11000000000058208</v>
      </c>
      <c r="T114" s="34"/>
      <c r="U114" s="34">
        <f t="shared" si="35"/>
        <v>-1.0453312654835614E-4</v>
      </c>
    </row>
    <row r="115" spans="1:21" hidden="1" outlineLevel="2">
      <c r="A115" s="22"/>
      <c r="B115" s="28">
        <v>6300</v>
      </c>
      <c r="C115" s="29" t="s">
        <v>142</v>
      </c>
      <c r="D115" s="5">
        <f>N(568140)</f>
        <v>568140</v>
      </c>
      <c r="E115" s="30">
        <f>N(582000)</f>
        <v>582000</v>
      </c>
      <c r="F115" s="30">
        <f t="shared" si="28"/>
        <v>13860</v>
      </c>
      <c r="G115" s="30"/>
      <c r="H115" s="31">
        <f t="shared" si="29"/>
        <v>2.3814432989690721</v>
      </c>
      <c r="I115" s="32">
        <f>N(503940)</f>
        <v>503940</v>
      </c>
      <c r="J115" s="30">
        <f t="shared" si="30"/>
        <v>-64200</v>
      </c>
      <c r="K115" s="30"/>
      <c r="L115" s="30">
        <f t="shared" si="31"/>
        <v>-12.739611858554589</v>
      </c>
      <c r="M115" s="5">
        <f>N(568140)</f>
        <v>568140</v>
      </c>
      <c r="N115" s="30">
        <f>N(582000)</f>
        <v>582000</v>
      </c>
      <c r="O115" s="30">
        <f t="shared" si="32"/>
        <v>13860</v>
      </c>
      <c r="P115" s="30"/>
      <c r="Q115" s="30">
        <f t="shared" si="33"/>
        <v>2.3814432989690721</v>
      </c>
      <c r="R115" s="32">
        <f>N(503940)</f>
        <v>503940</v>
      </c>
      <c r="S115" s="33">
        <f t="shared" si="34"/>
        <v>-64200</v>
      </c>
      <c r="T115" s="34"/>
      <c r="U115" s="34">
        <f t="shared" si="35"/>
        <v>-12.739611858554589</v>
      </c>
    </row>
    <row r="116" spans="1:21" hidden="1" outlineLevel="2">
      <c r="A116" s="22"/>
      <c r="B116" s="28">
        <v>6320</v>
      </c>
      <c r="C116" s="29" t="s">
        <v>334</v>
      </c>
      <c r="D116" s="5">
        <f>N(0)</f>
        <v>0</v>
      </c>
      <c r="E116" s="30">
        <f>N(0)</f>
        <v>0</v>
      </c>
      <c r="F116" s="30">
        <f t="shared" si="28"/>
        <v>0</v>
      </c>
      <c r="G116" s="30"/>
      <c r="H116" s="31">
        <f t="shared" si="29"/>
        <v>0</v>
      </c>
      <c r="I116" s="32">
        <f>N(7011.65)</f>
        <v>7011.65</v>
      </c>
      <c r="J116" s="30">
        <f t="shared" si="30"/>
        <v>7011.65</v>
      </c>
      <c r="K116" s="30"/>
      <c r="L116" s="30">
        <f t="shared" si="31"/>
        <v>100</v>
      </c>
      <c r="M116" s="5">
        <f>N(0)</f>
        <v>0</v>
      </c>
      <c r="N116" s="30">
        <f>N(0)</f>
        <v>0</v>
      </c>
      <c r="O116" s="30">
        <f t="shared" si="32"/>
        <v>0</v>
      </c>
      <c r="P116" s="30"/>
      <c r="Q116" s="30">
        <f t="shared" si="33"/>
        <v>0</v>
      </c>
      <c r="R116" s="32">
        <f>N(7011.65)</f>
        <v>7011.65</v>
      </c>
      <c r="S116" s="33">
        <f t="shared" si="34"/>
        <v>7011.65</v>
      </c>
      <c r="T116" s="34"/>
      <c r="U116" s="34">
        <f t="shared" si="35"/>
        <v>100</v>
      </c>
    </row>
    <row r="117" spans="1:21" hidden="1" outlineLevel="2">
      <c r="A117" s="22"/>
      <c r="B117" s="28">
        <v>6340</v>
      </c>
      <c r="C117" s="29" t="s">
        <v>143</v>
      </c>
      <c r="D117" s="5">
        <f>N(302.5)</f>
        <v>302.5</v>
      </c>
      <c r="E117" s="30">
        <f>N(0)</f>
        <v>0</v>
      </c>
      <c r="F117" s="30">
        <f t="shared" si="28"/>
        <v>-302.5</v>
      </c>
      <c r="G117" s="30"/>
      <c r="H117" s="31">
        <f t="shared" si="29"/>
        <v>0</v>
      </c>
      <c r="I117" s="32">
        <f>N(55838.8)</f>
        <v>55838.8</v>
      </c>
      <c r="J117" s="30">
        <f t="shared" si="30"/>
        <v>55536.3</v>
      </c>
      <c r="K117" s="30"/>
      <c r="L117" s="30">
        <f t="shared" si="31"/>
        <v>99.458261997034313</v>
      </c>
      <c r="M117" s="5">
        <f>N(302.5)</f>
        <v>302.5</v>
      </c>
      <c r="N117" s="30">
        <f>N(0)</f>
        <v>0</v>
      </c>
      <c r="O117" s="30">
        <f t="shared" si="32"/>
        <v>-302.5</v>
      </c>
      <c r="P117" s="30"/>
      <c r="Q117" s="30">
        <f t="shared" si="33"/>
        <v>0</v>
      </c>
      <c r="R117" s="32">
        <f>N(55838.8)</f>
        <v>55838.8</v>
      </c>
      <c r="S117" s="33">
        <f t="shared" si="34"/>
        <v>55536.3</v>
      </c>
      <c r="T117" s="34"/>
      <c r="U117" s="34">
        <f t="shared" si="35"/>
        <v>99.458261997034313</v>
      </c>
    </row>
    <row r="118" spans="1:21" hidden="1" outlineLevel="2">
      <c r="A118" s="22"/>
      <c r="B118" s="28">
        <v>6360</v>
      </c>
      <c r="C118" s="29" t="s">
        <v>144</v>
      </c>
      <c r="D118" s="5">
        <f>N(51750)</f>
        <v>51750</v>
      </c>
      <c r="E118" s="30">
        <f>N(45000)</f>
        <v>45000</v>
      </c>
      <c r="F118" s="30">
        <f t="shared" si="28"/>
        <v>-6750</v>
      </c>
      <c r="G118" s="30"/>
      <c r="H118" s="31">
        <f t="shared" si="29"/>
        <v>-15</v>
      </c>
      <c r="I118" s="32">
        <f>N(63615.84)</f>
        <v>63615.839999999997</v>
      </c>
      <c r="J118" s="30">
        <f t="shared" si="30"/>
        <v>11865.839999999997</v>
      </c>
      <c r="K118" s="30"/>
      <c r="L118" s="30">
        <f t="shared" si="31"/>
        <v>18.65233564470735</v>
      </c>
      <c r="M118" s="5">
        <f>N(51750)</f>
        <v>51750</v>
      </c>
      <c r="N118" s="30">
        <f>N(45000)</f>
        <v>45000</v>
      </c>
      <c r="O118" s="30">
        <f t="shared" si="32"/>
        <v>-6750</v>
      </c>
      <c r="P118" s="30"/>
      <c r="Q118" s="30">
        <f t="shared" si="33"/>
        <v>-15</v>
      </c>
      <c r="R118" s="32">
        <f>N(63615.84)</f>
        <v>63615.839999999997</v>
      </c>
      <c r="S118" s="33">
        <f t="shared" si="34"/>
        <v>11865.839999999997</v>
      </c>
      <c r="T118" s="34"/>
      <c r="U118" s="34">
        <f t="shared" si="35"/>
        <v>18.65233564470735</v>
      </c>
    </row>
    <row r="119" spans="1:21" hidden="1" outlineLevel="2">
      <c r="A119" s="22"/>
      <c r="B119" s="28">
        <v>6390</v>
      </c>
      <c r="C119" s="29" t="s">
        <v>145</v>
      </c>
      <c r="D119" s="5">
        <f>N(27436.15)</f>
        <v>27436.15</v>
      </c>
      <c r="E119" s="30">
        <f>N(0)</f>
        <v>0</v>
      </c>
      <c r="F119" s="30">
        <f t="shared" si="28"/>
        <v>-27436.15</v>
      </c>
      <c r="G119" s="30"/>
      <c r="H119" s="31">
        <f t="shared" si="29"/>
        <v>0</v>
      </c>
      <c r="I119" s="32">
        <f>N(199121.37)</f>
        <v>199121.37</v>
      </c>
      <c r="J119" s="30">
        <f t="shared" si="30"/>
        <v>171685.22</v>
      </c>
      <c r="K119" s="30"/>
      <c r="L119" s="30">
        <f t="shared" si="31"/>
        <v>86.221393514920067</v>
      </c>
      <c r="M119" s="5">
        <f>N(27436.15)</f>
        <v>27436.15</v>
      </c>
      <c r="N119" s="30">
        <f>N(0)</f>
        <v>0</v>
      </c>
      <c r="O119" s="30">
        <f t="shared" si="32"/>
        <v>-27436.15</v>
      </c>
      <c r="P119" s="30"/>
      <c r="Q119" s="30">
        <f t="shared" si="33"/>
        <v>0</v>
      </c>
      <c r="R119" s="32">
        <f>N(199121.37)</f>
        <v>199121.37</v>
      </c>
      <c r="S119" s="33">
        <f t="shared" si="34"/>
        <v>171685.22</v>
      </c>
      <c r="T119" s="34"/>
      <c r="U119" s="34">
        <f t="shared" si="35"/>
        <v>86.221393514920067</v>
      </c>
    </row>
    <row r="120" spans="1:21" hidden="1" outlineLevel="2">
      <c r="A120" s="22"/>
      <c r="B120" s="28">
        <v>6490</v>
      </c>
      <c r="C120" s="29" t="s">
        <v>146</v>
      </c>
      <c r="D120" s="5">
        <f>N(0)</f>
        <v>0</v>
      </c>
      <c r="E120" s="30">
        <f>N(0)</f>
        <v>0</v>
      </c>
      <c r="F120" s="30">
        <f t="shared" si="28"/>
        <v>0</v>
      </c>
      <c r="G120" s="30"/>
      <c r="H120" s="31">
        <f t="shared" si="29"/>
        <v>0</v>
      </c>
      <c r="I120" s="32">
        <f>N(461582.5)</f>
        <v>461582.5</v>
      </c>
      <c r="J120" s="30">
        <f t="shared" si="30"/>
        <v>461582.5</v>
      </c>
      <c r="K120" s="30"/>
      <c r="L120" s="30">
        <f t="shared" si="31"/>
        <v>100</v>
      </c>
      <c r="M120" s="5">
        <f>N(0)</f>
        <v>0</v>
      </c>
      <c r="N120" s="30">
        <f>N(0)</f>
        <v>0</v>
      </c>
      <c r="O120" s="30">
        <f t="shared" si="32"/>
        <v>0</v>
      </c>
      <c r="P120" s="30"/>
      <c r="Q120" s="30">
        <f t="shared" si="33"/>
        <v>0</v>
      </c>
      <c r="R120" s="32">
        <f>N(461582.5)</f>
        <v>461582.5</v>
      </c>
      <c r="S120" s="33">
        <f t="shared" si="34"/>
        <v>461582.5</v>
      </c>
      <c r="T120" s="34"/>
      <c r="U120" s="34">
        <f t="shared" si="35"/>
        <v>100</v>
      </c>
    </row>
    <row r="121" spans="1:21" hidden="1" outlineLevel="1">
      <c r="A121" s="22"/>
      <c r="B121" s="35" t="str">
        <f>"    "&amp;"Kostnad lokaler"</f>
        <v xml:space="preserve">    Kostnad lokaler</v>
      </c>
      <c r="C121" s="36"/>
      <c r="D121" s="37">
        <f>SUM(D115:D120)</f>
        <v>647628.65</v>
      </c>
      <c r="E121" s="33">
        <f>SUM(E115:E120)</f>
        <v>627000</v>
      </c>
      <c r="F121" s="33">
        <f t="shared" si="28"/>
        <v>-20628.650000000023</v>
      </c>
      <c r="G121" s="33"/>
      <c r="H121" s="38">
        <f t="shared" si="29"/>
        <v>-3.2900558213716145</v>
      </c>
      <c r="I121" s="39">
        <f>SUM(I115:I120)</f>
        <v>1291110.1600000001</v>
      </c>
      <c r="J121" s="33">
        <f t="shared" si="30"/>
        <v>643481.51000000013</v>
      </c>
      <c r="K121" s="33"/>
      <c r="L121" s="33">
        <f t="shared" si="31"/>
        <v>49.839396353290262</v>
      </c>
      <c r="M121" s="37">
        <f>SUM(M115:M120)</f>
        <v>647628.65</v>
      </c>
      <c r="N121" s="33">
        <f>SUM(N115:N120)</f>
        <v>627000</v>
      </c>
      <c r="O121" s="33">
        <f t="shared" si="32"/>
        <v>-20628.650000000023</v>
      </c>
      <c r="P121" s="33"/>
      <c r="Q121" s="33">
        <f t="shared" si="33"/>
        <v>-3.2900558213716145</v>
      </c>
      <c r="R121" s="39">
        <f>SUM(R115:R120)</f>
        <v>1291110.1600000001</v>
      </c>
      <c r="S121" s="33">
        <f t="shared" si="34"/>
        <v>643481.51000000013</v>
      </c>
      <c r="T121" s="34"/>
      <c r="U121" s="34">
        <f t="shared" si="35"/>
        <v>49.839396353290262</v>
      </c>
    </row>
    <row r="122" spans="1:21" hidden="1" outlineLevel="2">
      <c r="A122" s="22"/>
      <c r="B122" s="28">
        <v>6405</v>
      </c>
      <c r="C122" s="29" t="s">
        <v>147</v>
      </c>
      <c r="D122" s="5">
        <f>N(0)</f>
        <v>0</v>
      </c>
      <c r="E122" s="30">
        <f>N(0)</f>
        <v>0</v>
      </c>
      <c r="F122" s="30">
        <f t="shared" si="28"/>
        <v>0</v>
      </c>
      <c r="G122" s="30"/>
      <c r="H122" s="31">
        <f t="shared" si="29"/>
        <v>0</v>
      </c>
      <c r="I122" s="32">
        <f>N(174411.7)</f>
        <v>174411.7</v>
      </c>
      <c r="J122" s="30">
        <f t="shared" si="30"/>
        <v>174411.7</v>
      </c>
      <c r="K122" s="30"/>
      <c r="L122" s="30">
        <f t="shared" si="31"/>
        <v>100</v>
      </c>
      <c r="M122" s="5">
        <f>N(0)</f>
        <v>0</v>
      </c>
      <c r="N122" s="30">
        <f>N(0)</f>
        <v>0</v>
      </c>
      <c r="O122" s="30">
        <f t="shared" si="32"/>
        <v>0</v>
      </c>
      <c r="P122" s="30"/>
      <c r="Q122" s="30">
        <f t="shared" si="33"/>
        <v>0</v>
      </c>
      <c r="R122" s="32">
        <f>N(174411.7)</f>
        <v>174411.7</v>
      </c>
      <c r="S122" s="33">
        <f t="shared" si="34"/>
        <v>174411.7</v>
      </c>
      <c r="T122" s="34"/>
      <c r="U122" s="34">
        <f t="shared" si="35"/>
        <v>100</v>
      </c>
    </row>
    <row r="123" spans="1:21" hidden="1" outlineLevel="2">
      <c r="A123" s="22"/>
      <c r="B123" s="28">
        <v>6410</v>
      </c>
      <c r="C123" s="29" t="s">
        <v>148</v>
      </c>
      <c r="D123" s="5">
        <f>N(0)</f>
        <v>0</v>
      </c>
      <c r="E123" s="30">
        <f>N(0)</f>
        <v>0</v>
      </c>
      <c r="F123" s="30">
        <f t="shared" si="28"/>
        <v>0</v>
      </c>
      <c r="G123" s="30"/>
      <c r="H123" s="31">
        <f t="shared" si="29"/>
        <v>0</v>
      </c>
      <c r="I123" s="32">
        <f>N(1438)</f>
        <v>1438</v>
      </c>
      <c r="J123" s="30">
        <f t="shared" si="30"/>
        <v>1438</v>
      </c>
      <c r="K123" s="30"/>
      <c r="L123" s="30">
        <f t="shared" si="31"/>
        <v>100</v>
      </c>
      <c r="M123" s="5">
        <f>N(0)</f>
        <v>0</v>
      </c>
      <c r="N123" s="30">
        <f>N(0)</f>
        <v>0</v>
      </c>
      <c r="O123" s="30">
        <f t="shared" si="32"/>
        <v>0</v>
      </c>
      <c r="P123" s="30"/>
      <c r="Q123" s="30">
        <f t="shared" si="33"/>
        <v>0</v>
      </c>
      <c r="R123" s="32">
        <f>N(1438)</f>
        <v>1438</v>
      </c>
      <c r="S123" s="33">
        <f t="shared" si="34"/>
        <v>1438</v>
      </c>
      <c r="T123" s="34"/>
      <c r="U123" s="34">
        <f t="shared" si="35"/>
        <v>100</v>
      </c>
    </row>
    <row r="124" spans="1:21" hidden="1" outlineLevel="2">
      <c r="A124" s="22"/>
      <c r="B124" s="28">
        <v>6420</v>
      </c>
      <c r="C124" s="29" t="s">
        <v>149</v>
      </c>
      <c r="D124" s="5">
        <f>N(1203823.18)</f>
        <v>1203823.18</v>
      </c>
      <c r="E124" s="30">
        <f>N(1038708)</f>
        <v>1038708</v>
      </c>
      <c r="F124" s="30">
        <f t="shared" si="28"/>
        <v>-165115.17999999993</v>
      </c>
      <c r="G124" s="30"/>
      <c r="H124" s="31">
        <f t="shared" si="29"/>
        <v>-15.896207596360087</v>
      </c>
      <c r="I124" s="32">
        <f>N(1770969.99)</f>
        <v>1770969.99</v>
      </c>
      <c r="J124" s="30">
        <f t="shared" si="30"/>
        <v>567146.81000000006</v>
      </c>
      <c r="K124" s="30"/>
      <c r="L124" s="30">
        <f t="shared" si="31"/>
        <v>32.024642608427264</v>
      </c>
      <c r="M124" s="5">
        <f>N(1203823.18)</f>
        <v>1203823.18</v>
      </c>
      <c r="N124" s="30">
        <f>N(1038708)</f>
        <v>1038708</v>
      </c>
      <c r="O124" s="30">
        <f t="shared" si="32"/>
        <v>-165115.17999999993</v>
      </c>
      <c r="P124" s="30"/>
      <c r="Q124" s="30">
        <f t="shared" si="33"/>
        <v>-15.896207596360087</v>
      </c>
      <c r="R124" s="32">
        <f>N(1770969.99)</f>
        <v>1770969.99</v>
      </c>
      <c r="S124" s="33">
        <f t="shared" si="34"/>
        <v>567146.81000000006</v>
      </c>
      <c r="T124" s="34"/>
      <c r="U124" s="34">
        <f t="shared" si="35"/>
        <v>32.024642608427264</v>
      </c>
    </row>
    <row r="125" spans="1:21" hidden="1" outlineLevel="2">
      <c r="A125" s="22"/>
      <c r="B125" s="28">
        <v>6421</v>
      </c>
      <c r="C125" s="29" t="s">
        <v>150</v>
      </c>
      <c r="D125" s="5">
        <f>N(12582.66)</f>
        <v>12582.66</v>
      </c>
      <c r="E125" s="30">
        <f>N(15996.33)</f>
        <v>15996.33</v>
      </c>
      <c r="F125" s="30">
        <f t="shared" si="28"/>
        <v>3413.67</v>
      </c>
      <c r="G125" s="30"/>
      <c r="H125" s="31">
        <f t="shared" si="29"/>
        <v>21.340332438753141</v>
      </c>
      <c r="I125" s="32">
        <f>N(9516)</f>
        <v>9516</v>
      </c>
      <c r="J125" s="30">
        <f t="shared" si="30"/>
        <v>-3066.66</v>
      </c>
      <c r="K125" s="30"/>
      <c r="L125" s="30">
        <f t="shared" si="31"/>
        <v>-32.226355611601512</v>
      </c>
      <c r="M125" s="5">
        <f>N(12582.66)</f>
        <v>12582.66</v>
      </c>
      <c r="N125" s="30">
        <f>N(15996.33)</f>
        <v>15996.33</v>
      </c>
      <c r="O125" s="30">
        <f t="shared" si="32"/>
        <v>3413.67</v>
      </c>
      <c r="P125" s="30"/>
      <c r="Q125" s="30">
        <f t="shared" si="33"/>
        <v>21.340332438753141</v>
      </c>
      <c r="R125" s="32">
        <f>N(9516)</f>
        <v>9516</v>
      </c>
      <c r="S125" s="33">
        <f t="shared" si="34"/>
        <v>-3066.66</v>
      </c>
      <c r="T125" s="34"/>
      <c r="U125" s="34">
        <f t="shared" si="35"/>
        <v>-32.226355611601512</v>
      </c>
    </row>
    <row r="126" spans="1:21" hidden="1" outlineLevel="2">
      <c r="A126" s="22"/>
      <c r="B126" s="28">
        <v>6430</v>
      </c>
      <c r="C126" s="29" t="s">
        <v>151</v>
      </c>
      <c r="D126" s="5">
        <f>N(31580)</f>
        <v>31580</v>
      </c>
      <c r="E126" s="30">
        <f>N(18000)</f>
        <v>18000</v>
      </c>
      <c r="F126" s="30">
        <f t="shared" si="28"/>
        <v>-13580</v>
      </c>
      <c r="G126" s="30"/>
      <c r="H126" s="31">
        <f t="shared" si="29"/>
        <v>-75.444444444444443</v>
      </c>
      <c r="I126" s="32">
        <f>N(26585.88)</f>
        <v>26585.88</v>
      </c>
      <c r="J126" s="30">
        <f t="shared" si="30"/>
        <v>-4994.119999999999</v>
      </c>
      <c r="K126" s="30"/>
      <c r="L126" s="30">
        <f t="shared" si="31"/>
        <v>-18.78485872952108</v>
      </c>
      <c r="M126" s="5">
        <f>N(31580)</f>
        <v>31580</v>
      </c>
      <c r="N126" s="30">
        <f>N(18000)</f>
        <v>18000</v>
      </c>
      <c r="O126" s="30">
        <f t="shared" si="32"/>
        <v>-13580</v>
      </c>
      <c r="P126" s="30"/>
      <c r="Q126" s="30">
        <f t="shared" si="33"/>
        <v>-75.444444444444443</v>
      </c>
      <c r="R126" s="32">
        <f>N(26585.88)</f>
        <v>26585.88</v>
      </c>
      <c r="S126" s="33">
        <f t="shared" si="34"/>
        <v>-4994.119999999999</v>
      </c>
      <c r="T126" s="34"/>
      <c r="U126" s="34">
        <f t="shared" si="35"/>
        <v>-18.78485872952108</v>
      </c>
    </row>
    <row r="127" spans="1:21" hidden="1" outlineLevel="1">
      <c r="A127" s="22"/>
      <c r="B127" s="35" t="str">
        <f>"    "&amp;"Leie maskiner, inventar o.l."</f>
        <v xml:space="preserve">    Leie maskiner, inventar o.l.</v>
      </c>
      <c r="C127" s="36"/>
      <c r="D127" s="37">
        <f>SUM(D122:D126)</f>
        <v>1247985.8399999999</v>
      </c>
      <c r="E127" s="33">
        <f>SUM(E122:E126)</f>
        <v>1072704.33</v>
      </c>
      <c r="F127" s="33">
        <f t="shared" si="28"/>
        <v>-175281.50999999978</v>
      </c>
      <c r="G127" s="33"/>
      <c r="H127" s="38">
        <f t="shared" si="29"/>
        <v>-16.340151251183983</v>
      </c>
      <c r="I127" s="39">
        <f>SUM(I122:I126)</f>
        <v>1982921.5699999998</v>
      </c>
      <c r="J127" s="33">
        <f t="shared" si="30"/>
        <v>734935.73</v>
      </c>
      <c r="K127" s="33"/>
      <c r="L127" s="33">
        <f t="shared" si="31"/>
        <v>37.063277797719458</v>
      </c>
      <c r="M127" s="37">
        <f>SUM(M122:M126)</f>
        <v>1247985.8399999999</v>
      </c>
      <c r="N127" s="33">
        <f>SUM(N122:N126)</f>
        <v>1072704.33</v>
      </c>
      <c r="O127" s="33">
        <f t="shared" si="32"/>
        <v>-175281.50999999978</v>
      </c>
      <c r="P127" s="33"/>
      <c r="Q127" s="33">
        <f t="shared" si="33"/>
        <v>-16.340151251183983</v>
      </c>
      <c r="R127" s="39">
        <f>SUM(R122:R126)</f>
        <v>1982921.5699999998</v>
      </c>
      <c r="S127" s="33">
        <f t="shared" si="34"/>
        <v>734935.73</v>
      </c>
      <c r="T127" s="34"/>
      <c r="U127" s="34">
        <f t="shared" si="35"/>
        <v>37.063277797719458</v>
      </c>
    </row>
    <row r="128" spans="1:21" hidden="1" outlineLevel="2">
      <c r="A128" s="22"/>
      <c r="B128" s="28">
        <v>6540</v>
      </c>
      <c r="C128" s="29" t="s">
        <v>152</v>
      </c>
      <c r="D128" s="5">
        <f>N(3500)</f>
        <v>3500</v>
      </c>
      <c r="E128" s="30">
        <f>N(0)</f>
        <v>0</v>
      </c>
      <c r="F128" s="30">
        <f t="shared" si="28"/>
        <v>-3500</v>
      </c>
      <c r="G128" s="30"/>
      <c r="H128" s="31">
        <f t="shared" si="29"/>
        <v>0</v>
      </c>
      <c r="I128" s="32">
        <f>N(83702.19)</f>
        <v>83702.19</v>
      </c>
      <c r="J128" s="30">
        <f t="shared" si="30"/>
        <v>80202.19</v>
      </c>
      <c r="K128" s="30"/>
      <c r="L128" s="30">
        <f t="shared" si="31"/>
        <v>95.818508452407272</v>
      </c>
      <c r="M128" s="5">
        <f>N(3500)</f>
        <v>3500</v>
      </c>
      <c r="N128" s="30">
        <f>N(0)</f>
        <v>0</v>
      </c>
      <c r="O128" s="30">
        <f t="shared" si="32"/>
        <v>-3500</v>
      </c>
      <c r="P128" s="30"/>
      <c r="Q128" s="30">
        <f t="shared" si="33"/>
        <v>0</v>
      </c>
      <c r="R128" s="32">
        <f>N(83702.19)</f>
        <v>83702.19</v>
      </c>
      <c r="S128" s="33">
        <f t="shared" si="34"/>
        <v>80202.19</v>
      </c>
      <c r="T128" s="34"/>
      <c r="U128" s="34">
        <f t="shared" si="35"/>
        <v>95.818508452407272</v>
      </c>
    </row>
    <row r="129" spans="1:21" hidden="1" outlineLevel="2">
      <c r="A129" s="22"/>
      <c r="B129" s="28">
        <v>6550</v>
      </c>
      <c r="C129" s="29" t="s">
        <v>153</v>
      </c>
      <c r="D129" s="5">
        <f>N(27672.63)</f>
        <v>27672.63</v>
      </c>
      <c r="E129" s="30">
        <f>N(11500)</f>
        <v>11500</v>
      </c>
      <c r="F129" s="30">
        <f t="shared" si="28"/>
        <v>-16172.630000000001</v>
      </c>
      <c r="G129" s="30"/>
      <c r="H129" s="31">
        <f t="shared" si="29"/>
        <v>-140.63156521739131</v>
      </c>
      <c r="I129" s="32">
        <f>N(8590)</f>
        <v>8590</v>
      </c>
      <c r="J129" s="30">
        <f t="shared" si="30"/>
        <v>-19082.63</v>
      </c>
      <c r="K129" s="30"/>
      <c r="L129" s="30">
        <f t="shared" si="31"/>
        <v>-222.14935972060536</v>
      </c>
      <c r="M129" s="5">
        <f>N(27672.63)</f>
        <v>27672.63</v>
      </c>
      <c r="N129" s="30">
        <f>N(11500)</f>
        <v>11500</v>
      </c>
      <c r="O129" s="30">
        <f t="shared" si="32"/>
        <v>-16172.630000000001</v>
      </c>
      <c r="P129" s="30"/>
      <c r="Q129" s="30">
        <f t="shared" si="33"/>
        <v>-140.63156521739131</v>
      </c>
      <c r="R129" s="32">
        <f>N(8590)</f>
        <v>8590</v>
      </c>
      <c r="S129" s="33">
        <f t="shared" si="34"/>
        <v>-19082.63</v>
      </c>
      <c r="T129" s="34"/>
      <c r="U129" s="34">
        <f t="shared" si="35"/>
        <v>-222.14935972060536</v>
      </c>
    </row>
    <row r="130" spans="1:21" hidden="1" outlineLevel="2">
      <c r="A130" s="22"/>
      <c r="B130" s="28">
        <v>6551</v>
      </c>
      <c r="C130" s="29" t="s">
        <v>154</v>
      </c>
      <c r="D130" s="5">
        <f>N(103399.91)</f>
        <v>103399.91</v>
      </c>
      <c r="E130" s="30">
        <f>N(67000)</f>
        <v>67000</v>
      </c>
      <c r="F130" s="30">
        <f t="shared" si="28"/>
        <v>-36399.910000000003</v>
      </c>
      <c r="G130" s="30"/>
      <c r="H130" s="31">
        <f t="shared" si="29"/>
        <v>-54.328223880597022</v>
      </c>
      <c r="I130" s="32">
        <f>N(69570.76)</f>
        <v>69570.759999999995</v>
      </c>
      <c r="J130" s="30">
        <f t="shared" si="30"/>
        <v>-33829.150000000009</v>
      </c>
      <c r="K130" s="30"/>
      <c r="L130" s="30">
        <f t="shared" si="31"/>
        <v>-48.625528885986029</v>
      </c>
      <c r="M130" s="5">
        <f>N(103399.91)</f>
        <v>103399.91</v>
      </c>
      <c r="N130" s="30">
        <f>N(67000)</f>
        <v>67000</v>
      </c>
      <c r="O130" s="30">
        <f t="shared" si="32"/>
        <v>-36399.910000000003</v>
      </c>
      <c r="P130" s="30"/>
      <c r="Q130" s="30">
        <f t="shared" si="33"/>
        <v>-54.328223880597022</v>
      </c>
      <c r="R130" s="32">
        <f>N(69570.76)</f>
        <v>69570.759999999995</v>
      </c>
      <c r="S130" s="33">
        <f t="shared" si="34"/>
        <v>-33829.150000000009</v>
      </c>
      <c r="T130" s="34"/>
      <c r="U130" s="34">
        <f t="shared" si="35"/>
        <v>-48.625528885986029</v>
      </c>
    </row>
    <row r="131" spans="1:21" hidden="1" outlineLevel="2">
      <c r="A131" s="22"/>
      <c r="B131" s="28">
        <v>6590</v>
      </c>
      <c r="C131" s="29" t="s">
        <v>155</v>
      </c>
      <c r="D131" s="5">
        <f>N(11492.3)</f>
        <v>11492.3</v>
      </c>
      <c r="E131" s="30">
        <f>N(20000.67)</f>
        <v>20000.669999999998</v>
      </c>
      <c r="F131" s="30">
        <f t="shared" si="28"/>
        <v>8508.369999999999</v>
      </c>
      <c r="G131" s="30"/>
      <c r="H131" s="31">
        <f t="shared" si="29"/>
        <v>42.540424895765987</v>
      </c>
      <c r="I131" s="32">
        <f>N(67803.38)</f>
        <v>67803.38</v>
      </c>
      <c r="J131" s="30">
        <f t="shared" si="30"/>
        <v>56311.08</v>
      </c>
      <c r="K131" s="30"/>
      <c r="L131" s="30">
        <f t="shared" si="31"/>
        <v>83.05054998733101</v>
      </c>
      <c r="M131" s="5">
        <f>N(11492.3)</f>
        <v>11492.3</v>
      </c>
      <c r="N131" s="30">
        <f>N(20000.67)</f>
        <v>20000.669999999998</v>
      </c>
      <c r="O131" s="30">
        <f t="shared" si="32"/>
        <v>8508.369999999999</v>
      </c>
      <c r="P131" s="30"/>
      <c r="Q131" s="30">
        <f t="shared" si="33"/>
        <v>42.540424895765987</v>
      </c>
      <c r="R131" s="32">
        <f>N(67803.38)</f>
        <v>67803.38</v>
      </c>
      <c r="S131" s="33">
        <f t="shared" si="34"/>
        <v>56311.08</v>
      </c>
      <c r="T131" s="34"/>
      <c r="U131" s="34">
        <f t="shared" si="35"/>
        <v>83.05054998733101</v>
      </c>
    </row>
    <row r="132" spans="1:21" hidden="1" outlineLevel="1">
      <c r="A132" s="22"/>
      <c r="B132" s="35" t="str">
        <f>"    "&amp;"Verktøy, inventar og driftsmateriell"</f>
        <v xml:space="preserve">    Verktøy, inventar og driftsmateriell</v>
      </c>
      <c r="C132" s="36"/>
      <c r="D132" s="37">
        <f>SUM(D128:D131)</f>
        <v>146064.84</v>
      </c>
      <c r="E132" s="33">
        <f>SUM(E128:E131)</f>
        <v>98500.67</v>
      </c>
      <c r="F132" s="33">
        <f t="shared" si="28"/>
        <v>-47564.17</v>
      </c>
      <c r="G132" s="33"/>
      <c r="H132" s="38">
        <f t="shared" si="29"/>
        <v>-48.288169004332659</v>
      </c>
      <c r="I132" s="39">
        <f>SUM(I128:I131)</f>
        <v>229666.33000000002</v>
      </c>
      <c r="J132" s="33">
        <f t="shared" si="30"/>
        <v>83601.49000000002</v>
      </c>
      <c r="K132" s="33"/>
      <c r="L132" s="33">
        <f t="shared" si="31"/>
        <v>36.401282678222799</v>
      </c>
      <c r="M132" s="37">
        <f>SUM(M128:M131)</f>
        <v>146064.84</v>
      </c>
      <c r="N132" s="33">
        <f>SUM(N128:N131)</f>
        <v>98500.67</v>
      </c>
      <c r="O132" s="33">
        <f t="shared" si="32"/>
        <v>-47564.17</v>
      </c>
      <c r="P132" s="33"/>
      <c r="Q132" s="33">
        <f t="shared" si="33"/>
        <v>-48.288169004332659</v>
      </c>
      <c r="R132" s="39">
        <f>SUM(R128:R131)</f>
        <v>229666.33000000002</v>
      </c>
      <c r="S132" s="33">
        <f t="shared" si="34"/>
        <v>83601.49000000002</v>
      </c>
      <c r="T132" s="34"/>
      <c r="U132" s="34">
        <f t="shared" si="35"/>
        <v>36.401282678222799</v>
      </c>
    </row>
    <row r="133" spans="1:21" hidden="1" outlineLevel="2">
      <c r="A133" s="22"/>
      <c r="B133" s="28">
        <v>6701</v>
      </c>
      <c r="C133" s="29" t="s">
        <v>156</v>
      </c>
      <c r="D133" s="5">
        <f>N(201791.06)</f>
        <v>201791.06</v>
      </c>
      <c r="E133" s="30">
        <f>N(250000)</f>
        <v>250000</v>
      </c>
      <c r="F133" s="30">
        <f t="shared" si="28"/>
        <v>48208.94</v>
      </c>
      <c r="G133" s="30"/>
      <c r="H133" s="31">
        <f t="shared" si="29"/>
        <v>19.283576</v>
      </c>
      <c r="I133" s="32">
        <f>N(177573.5)</f>
        <v>177573.5</v>
      </c>
      <c r="J133" s="30">
        <f t="shared" si="30"/>
        <v>-24217.559999999998</v>
      </c>
      <c r="K133" s="30"/>
      <c r="L133" s="30">
        <f t="shared" si="31"/>
        <v>-13.638048470070141</v>
      </c>
      <c r="M133" s="5">
        <f>N(201791.06)</f>
        <v>201791.06</v>
      </c>
      <c r="N133" s="30">
        <f>N(250000)</f>
        <v>250000</v>
      </c>
      <c r="O133" s="30">
        <f t="shared" si="32"/>
        <v>48208.94</v>
      </c>
      <c r="P133" s="30"/>
      <c r="Q133" s="30">
        <f t="shared" si="33"/>
        <v>19.283576</v>
      </c>
      <c r="R133" s="32">
        <f>N(177573.5)</f>
        <v>177573.5</v>
      </c>
      <c r="S133" s="33">
        <f t="shared" si="34"/>
        <v>-24217.559999999998</v>
      </c>
      <c r="T133" s="34"/>
      <c r="U133" s="34">
        <f t="shared" si="35"/>
        <v>-13.638048470070141</v>
      </c>
    </row>
    <row r="134" spans="1:21" hidden="1" outlineLevel="2">
      <c r="A134" s="22"/>
      <c r="B134" s="28">
        <v>6705</v>
      </c>
      <c r="C134" s="29" t="s">
        <v>157</v>
      </c>
      <c r="D134" s="5">
        <f>N(919101.36)</f>
        <v>919101.36</v>
      </c>
      <c r="E134" s="30">
        <f>N(1020000)</f>
        <v>1020000</v>
      </c>
      <c r="F134" s="30">
        <f t="shared" si="28"/>
        <v>100898.64000000001</v>
      </c>
      <c r="G134" s="30"/>
      <c r="H134" s="31">
        <f t="shared" si="29"/>
        <v>9.892023529411766</v>
      </c>
      <c r="I134" s="32">
        <f>N(1126797.06)</f>
        <v>1126797.06</v>
      </c>
      <c r="J134" s="30">
        <f t="shared" si="30"/>
        <v>207695.70000000007</v>
      </c>
      <c r="K134" s="30"/>
      <c r="L134" s="30">
        <f t="shared" si="31"/>
        <v>18.432396335858389</v>
      </c>
      <c r="M134" s="5">
        <f>N(919101.36)</f>
        <v>919101.36</v>
      </c>
      <c r="N134" s="30">
        <f>N(1020000)</f>
        <v>1020000</v>
      </c>
      <c r="O134" s="30">
        <f t="shared" si="32"/>
        <v>100898.64000000001</v>
      </c>
      <c r="P134" s="30"/>
      <c r="Q134" s="30">
        <f t="shared" si="33"/>
        <v>9.892023529411766</v>
      </c>
      <c r="R134" s="32">
        <f>N(1126797.06)</f>
        <v>1126797.06</v>
      </c>
      <c r="S134" s="33">
        <f t="shared" si="34"/>
        <v>207695.70000000007</v>
      </c>
      <c r="T134" s="34"/>
      <c r="U134" s="34">
        <f t="shared" si="35"/>
        <v>18.432396335858389</v>
      </c>
    </row>
    <row r="135" spans="1:21" hidden="1" outlineLevel="2">
      <c r="A135" s="22"/>
      <c r="B135" s="28">
        <v>6790</v>
      </c>
      <c r="C135" s="29" t="s">
        <v>158</v>
      </c>
      <c r="D135" s="5">
        <f>N(1252627.01)</f>
        <v>1252627.01</v>
      </c>
      <c r="E135" s="30">
        <f>N(640000)</f>
        <v>640000</v>
      </c>
      <c r="F135" s="30">
        <f t="shared" si="28"/>
        <v>-612627.01</v>
      </c>
      <c r="G135" s="30"/>
      <c r="H135" s="31">
        <f t="shared" si="29"/>
        <v>-95.722970312499996</v>
      </c>
      <c r="I135" s="32">
        <f>N(432566.56)</f>
        <v>432566.56</v>
      </c>
      <c r="J135" s="30">
        <f t="shared" si="30"/>
        <v>-820060.45</v>
      </c>
      <c r="K135" s="30"/>
      <c r="L135" s="30">
        <f t="shared" si="31"/>
        <v>-189.58017697900641</v>
      </c>
      <c r="M135" s="5">
        <f>N(1252627.01)</f>
        <v>1252627.01</v>
      </c>
      <c r="N135" s="30">
        <f>N(640000)</f>
        <v>640000</v>
      </c>
      <c r="O135" s="30">
        <f t="shared" si="32"/>
        <v>-612627.01</v>
      </c>
      <c r="P135" s="30"/>
      <c r="Q135" s="30">
        <f t="shared" si="33"/>
        <v>-95.722970312499996</v>
      </c>
      <c r="R135" s="32">
        <f>N(432566.56)</f>
        <v>432566.56</v>
      </c>
      <c r="S135" s="33">
        <f t="shared" si="34"/>
        <v>-820060.45</v>
      </c>
      <c r="T135" s="34"/>
      <c r="U135" s="34">
        <f t="shared" si="35"/>
        <v>-189.58017697900641</v>
      </c>
    </row>
    <row r="136" spans="1:21" hidden="1" outlineLevel="2">
      <c r="A136" s="22"/>
      <c r="B136" s="28">
        <v>6791</v>
      </c>
      <c r="C136" s="29" t="s">
        <v>335</v>
      </c>
      <c r="D136" s="5">
        <f>N(0)</f>
        <v>0</v>
      </c>
      <c r="E136" s="30">
        <f>N(0)</f>
        <v>0</v>
      </c>
      <c r="F136" s="30">
        <f t="shared" si="28"/>
        <v>0</v>
      </c>
      <c r="G136" s="30"/>
      <c r="H136" s="31">
        <f t="shared" si="29"/>
        <v>0</v>
      </c>
      <c r="I136" s="32">
        <f>N(3061.88)</f>
        <v>3061.88</v>
      </c>
      <c r="J136" s="30">
        <f t="shared" si="30"/>
        <v>3061.88</v>
      </c>
      <c r="K136" s="30"/>
      <c r="L136" s="30">
        <f t="shared" si="31"/>
        <v>100</v>
      </c>
      <c r="M136" s="5">
        <f>N(0)</f>
        <v>0</v>
      </c>
      <c r="N136" s="30">
        <f>N(0)</f>
        <v>0</v>
      </c>
      <c r="O136" s="30">
        <f t="shared" si="32"/>
        <v>0</v>
      </c>
      <c r="P136" s="30"/>
      <c r="Q136" s="30">
        <f t="shared" si="33"/>
        <v>0</v>
      </c>
      <c r="R136" s="32">
        <f>N(3061.88)</f>
        <v>3061.88</v>
      </c>
      <c r="S136" s="33">
        <f t="shared" si="34"/>
        <v>3061.88</v>
      </c>
      <c r="T136" s="34"/>
      <c r="U136" s="34">
        <f t="shared" si="35"/>
        <v>100</v>
      </c>
    </row>
    <row r="137" spans="1:21" hidden="1" outlineLevel="1">
      <c r="A137" s="22"/>
      <c r="B137" s="35" t="str">
        <f>"    "&amp;"Fremmed tjeneste"</f>
        <v xml:space="preserve">    Fremmed tjeneste</v>
      </c>
      <c r="C137" s="36"/>
      <c r="D137" s="37">
        <f>SUM(D133:D136)</f>
        <v>2373519.4299999997</v>
      </c>
      <c r="E137" s="33">
        <f>SUM(E133:E136)</f>
        <v>1910000</v>
      </c>
      <c r="F137" s="33">
        <f t="shared" si="28"/>
        <v>-463519.4299999997</v>
      </c>
      <c r="G137" s="33"/>
      <c r="H137" s="38">
        <f t="shared" si="29"/>
        <v>-24.268032984293178</v>
      </c>
      <c r="I137" s="39">
        <f>SUM(I133:I136)</f>
        <v>1739999</v>
      </c>
      <c r="J137" s="33">
        <f t="shared" si="30"/>
        <v>-633520.4299999997</v>
      </c>
      <c r="K137" s="33"/>
      <c r="L137" s="33">
        <f t="shared" si="31"/>
        <v>-36.409241039793685</v>
      </c>
      <c r="M137" s="37">
        <f>SUM(M133:M136)</f>
        <v>2373519.4299999997</v>
      </c>
      <c r="N137" s="33">
        <f>SUM(N133:N136)</f>
        <v>1910000</v>
      </c>
      <c r="O137" s="33">
        <f t="shared" si="32"/>
        <v>-463519.4299999997</v>
      </c>
      <c r="P137" s="33"/>
      <c r="Q137" s="33">
        <f t="shared" si="33"/>
        <v>-24.268032984293178</v>
      </c>
      <c r="R137" s="39">
        <f>SUM(R133:R136)</f>
        <v>1739999</v>
      </c>
      <c r="S137" s="33">
        <f t="shared" si="34"/>
        <v>-633520.4299999997</v>
      </c>
      <c r="T137" s="34"/>
      <c r="U137" s="34">
        <f t="shared" si="35"/>
        <v>-36.409241039793685</v>
      </c>
    </row>
    <row r="138" spans="1:21" hidden="1" outlineLevel="2">
      <c r="A138" s="22"/>
      <c r="B138" s="28">
        <v>6800</v>
      </c>
      <c r="C138" s="29" t="s">
        <v>160</v>
      </c>
      <c r="D138" s="5">
        <f>N(38113.12)</f>
        <v>38113.120000000003</v>
      </c>
      <c r="E138" s="30">
        <f>N(22999.63)</f>
        <v>22999.63</v>
      </c>
      <c r="F138" s="30">
        <f t="shared" si="28"/>
        <v>-15113.490000000002</v>
      </c>
      <c r="G138" s="30"/>
      <c r="H138" s="31">
        <f t="shared" si="29"/>
        <v>-65.711883191164389</v>
      </c>
      <c r="I138" s="32">
        <f>N(19536.57)</f>
        <v>19536.57</v>
      </c>
      <c r="J138" s="30">
        <f t="shared" si="30"/>
        <v>-18576.550000000003</v>
      </c>
      <c r="K138" s="30"/>
      <c r="L138" s="30">
        <f t="shared" si="31"/>
        <v>-95.086036085147001</v>
      </c>
      <c r="M138" s="5">
        <f>N(38113.12)</f>
        <v>38113.120000000003</v>
      </c>
      <c r="N138" s="30">
        <f>N(22999.63)</f>
        <v>22999.63</v>
      </c>
      <c r="O138" s="30">
        <f t="shared" si="32"/>
        <v>-15113.490000000002</v>
      </c>
      <c r="P138" s="30"/>
      <c r="Q138" s="30">
        <f t="shared" si="33"/>
        <v>-65.711883191164389</v>
      </c>
      <c r="R138" s="32">
        <f>N(19536.57)</f>
        <v>19536.57</v>
      </c>
      <c r="S138" s="33">
        <f t="shared" si="34"/>
        <v>-18576.550000000003</v>
      </c>
      <c r="T138" s="34"/>
      <c r="U138" s="34">
        <f t="shared" si="35"/>
        <v>-95.086036085147001</v>
      </c>
    </row>
    <row r="139" spans="1:21" hidden="1" outlineLevel="2">
      <c r="A139" s="22"/>
      <c r="B139" s="28">
        <v>6820</v>
      </c>
      <c r="C139" s="29" t="s">
        <v>161</v>
      </c>
      <c r="D139" s="5">
        <f>N(9172.3)</f>
        <v>9172.2999999999993</v>
      </c>
      <c r="E139" s="30">
        <f>N(23000)</f>
        <v>23000</v>
      </c>
      <c r="F139" s="30">
        <f t="shared" si="28"/>
        <v>13827.7</v>
      </c>
      <c r="G139" s="30"/>
      <c r="H139" s="31">
        <f t="shared" si="29"/>
        <v>60.120434782608697</v>
      </c>
      <c r="I139" s="32">
        <f>N(39207.19)</f>
        <v>39207.19</v>
      </c>
      <c r="J139" s="30">
        <f t="shared" si="30"/>
        <v>30034.890000000003</v>
      </c>
      <c r="K139" s="30"/>
      <c r="L139" s="30">
        <f t="shared" si="31"/>
        <v>76.605566479005518</v>
      </c>
      <c r="M139" s="5">
        <f>N(9172.3)</f>
        <v>9172.2999999999993</v>
      </c>
      <c r="N139" s="30">
        <f>N(23000)</f>
        <v>23000</v>
      </c>
      <c r="O139" s="30">
        <f t="shared" si="32"/>
        <v>13827.7</v>
      </c>
      <c r="P139" s="30"/>
      <c r="Q139" s="30">
        <f t="shared" si="33"/>
        <v>60.120434782608697</v>
      </c>
      <c r="R139" s="32">
        <f>N(39207.19)</f>
        <v>39207.19</v>
      </c>
      <c r="S139" s="33">
        <f t="shared" si="34"/>
        <v>30034.890000000003</v>
      </c>
      <c r="T139" s="34"/>
      <c r="U139" s="34">
        <f t="shared" si="35"/>
        <v>76.605566479005518</v>
      </c>
    </row>
    <row r="140" spans="1:21" hidden="1" outlineLevel="2">
      <c r="A140" s="22"/>
      <c r="B140" s="28">
        <v>6840</v>
      </c>
      <c r="C140" s="29" t="s">
        <v>162</v>
      </c>
      <c r="D140" s="5">
        <f>N(21119)</f>
        <v>21119</v>
      </c>
      <c r="E140" s="30">
        <f>N(25200.33)</f>
        <v>25200.33</v>
      </c>
      <c r="F140" s="30">
        <f t="shared" si="28"/>
        <v>4081.3300000000017</v>
      </c>
      <c r="G140" s="30"/>
      <c r="H140" s="31">
        <f t="shared" si="29"/>
        <v>16.195541883776926</v>
      </c>
      <c r="I140" s="32">
        <f>N(18416.62)</f>
        <v>18416.62</v>
      </c>
      <c r="J140" s="30">
        <f t="shared" si="30"/>
        <v>-2702.380000000001</v>
      </c>
      <c r="K140" s="30"/>
      <c r="L140" s="30">
        <f t="shared" si="31"/>
        <v>-14.673593743042977</v>
      </c>
      <c r="M140" s="5">
        <f>N(21119)</f>
        <v>21119</v>
      </c>
      <c r="N140" s="30">
        <f>N(25200.33)</f>
        <v>25200.33</v>
      </c>
      <c r="O140" s="30">
        <f t="shared" si="32"/>
        <v>4081.3300000000017</v>
      </c>
      <c r="P140" s="30"/>
      <c r="Q140" s="30">
        <f t="shared" si="33"/>
        <v>16.195541883776926</v>
      </c>
      <c r="R140" s="32">
        <f>N(18416.62)</f>
        <v>18416.62</v>
      </c>
      <c r="S140" s="33">
        <f t="shared" si="34"/>
        <v>-2702.380000000001</v>
      </c>
      <c r="T140" s="34"/>
      <c r="U140" s="34">
        <f t="shared" si="35"/>
        <v>-14.673593743042977</v>
      </c>
    </row>
    <row r="141" spans="1:21" hidden="1" outlineLevel="2">
      <c r="A141" s="22"/>
      <c r="B141" s="28">
        <v>6842</v>
      </c>
      <c r="C141" s="29" t="s">
        <v>163</v>
      </c>
      <c r="D141" s="5">
        <f>N(0)</f>
        <v>0</v>
      </c>
      <c r="E141" s="30">
        <f>N(2980)</f>
        <v>2980</v>
      </c>
      <c r="F141" s="30">
        <f t="shared" si="28"/>
        <v>2980</v>
      </c>
      <c r="G141" s="30"/>
      <c r="H141" s="31">
        <f t="shared" si="29"/>
        <v>100</v>
      </c>
      <c r="I141" s="32">
        <f>N(6370)</f>
        <v>6370</v>
      </c>
      <c r="J141" s="30">
        <f t="shared" si="30"/>
        <v>6370</v>
      </c>
      <c r="K141" s="30"/>
      <c r="L141" s="30">
        <f t="shared" si="31"/>
        <v>100</v>
      </c>
      <c r="M141" s="5">
        <f>N(0)</f>
        <v>0</v>
      </c>
      <c r="N141" s="30">
        <f>N(2980)</f>
        <v>2980</v>
      </c>
      <c r="O141" s="30">
        <f t="shared" si="32"/>
        <v>2980</v>
      </c>
      <c r="P141" s="30"/>
      <c r="Q141" s="30">
        <f t="shared" si="33"/>
        <v>100</v>
      </c>
      <c r="R141" s="32">
        <f>N(6370)</f>
        <v>6370</v>
      </c>
      <c r="S141" s="33">
        <f t="shared" si="34"/>
        <v>6370</v>
      </c>
      <c r="T141" s="34"/>
      <c r="U141" s="34">
        <f t="shared" si="35"/>
        <v>100</v>
      </c>
    </row>
    <row r="142" spans="1:21" hidden="1" outlineLevel="2">
      <c r="A142" s="22"/>
      <c r="B142" s="28">
        <v>6860</v>
      </c>
      <c r="C142" s="29" t="s">
        <v>164</v>
      </c>
      <c r="D142" s="5">
        <f>N(272242.19)</f>
        <v>272242.19</v>
      </c>
      <c r="E142" s="30">
        <f>N(301000.33)</f>
        <v>301000.33</v>
      </c>
      <c r="F142" s="30">
        <f t="shared" si="28"/>
        <v>28758.140000000014</v>
      </c>
      <c r="G142" s="30"/>
      <c r="H142" s="31">
        <f t="shared" si="29"/>
        <v>9.5541888608560708</v>
      </c>
      <c r="I142" s="32">
        <f>N(548142.6)</f>
        <v>548142.6</v>
      </c>
      <c r="J142" s="30">
        <f t="shared" si="30"/>
        <v>275900.40999999997</v>
      </c>
      <c r="K142" s="30"/>
      <c r="L142" s="30">
        <f t="shared" si="31"/>
        <v>50.333692363994331</v>
      </c>
      <c r="M142" s="5">
        <f>N(272242.19)</f>
        <v>272242.19</v>
      </c>
      <c r="N142" s="30">
        <f>N(301000.33)</f>
        <v>301000.33</v>
      </c>
      <c r="O142" s="30">
        <f t="shared" si="32"/>
        <v>28758.140000000014</v>
      </c>
      <c r="P142" s="30"/>
      <c r="Q142" s="30">
        <f t="shared" si="33"/>
        <v>9.5541888608560708</v>
      </c>
      <c r="R142" s="32">
        <f>N(548142.6)</f>
        <v>548142.6</v>
      </c>
      <c r="S142" s="33">
        <f t="shared" si="34"/>
        <v>275900.40999999997</v>
      </c>
      <c r="T142" s="34"/>
      <c r="U142" s="34">
        <f t="shared" si="35"/>
        <v>50.333692363994331</v>
      </c>
    </row>
    <row r="143" spans="1:21" hidden="1" outlineLevel="2">
      <c r="A143" s="22"/>
      <c r="B143" s="28">
        <v>6870</v>
      </c>
      <c r="C143" s="29" t="s">
        <v>165</v>
      </c>
      <c r="D143" s="5">
        <f>N(3882.8)</f>
        <v>3882.8</v>
      </c>
      <c r="E143" s="30">
        <f>N(31000.33)</f>
        <v>31000.33</v>
      </c>
      <c r="F143" s="30">
        <f t="shared" si="28"/>
        <v>27117.530000000002</v>
      </c>
      <c r="G143" s="30"/>
      <c r="H143" s="31">
        <f t="shared" si="29"/>
        <v>87.474972040620216</v>
      </c>
      <c r="I143" s="32">
        <f>N(73434.41)</f>
        <v>73434.41</v>
      </c>
      <c r="J143" s="30">
        <f t="shared" si="30"/>
        <v>69551.61</v>
      </c>
      <c r="K143" s="30"/>
      <c r="L143" s="30">
        <f t="shared" si="31"/>
        <v>94.712560501269081</v>
      </c>
      <c r="M143" s="5">
        <f>N(3882.8)</f>
        <v>3882.8</v>
      </c>
      <c r="N143" s="30">
        <f>N(31000.33)</f>
        <v>31000.33</v>
      </c>
      <c r="O143" s="30">
        <f t="shared" si="32"/>
        <v>27117.530000000002</v>
      </c>
      <c r="P143" s="30"/>
      <c r="Q143" s="30">
        <f t="shared" si="33"/>
        <v>87.474972040620216</v>
      </c>
      <c r="R143" s="32">
        <f>N(73434.41)</f>
        <v>73434.41</v>
      </c>
      <c r="S143" s="33">
        <f t="shared" si="34"/>
        <v>69551.61</v>
      </c>
      <c r="T143" s="34"/>
      <c r="U143" s="34">
        <f t="shared" si="35"/>
        <v>94.712560501269081</v>
      </c>
    </row>
    <row r="144" spans="1:21" hidden="1" outlineLevel="2">
      <c r="A144" s="22"/>
      <c r="B144" s="28">
        <v>6890</v>
      </c>
      <c r="C144" s="29" t="s">
        <v>166</v>
      </c>
      <c r="D144" s="5">
        <f>N(27797.76)</f>
        <v>27797.759999999998</v>
      </c>
      <c r="E144" s="30">
        <f>N(19000)</f>
        <v>19000</v>
      </c>
      <c r="F144" s="30">
        <f t="shared" si="28"/>
        <v>-8797.7599999999984</v>
      </c>
      <c r="G144" s="30"/>
      <c r="H144" s="31">
        <f t="shared" si="29"/>
        <v>-46.303999999999995</v>
      </c>
      <c r="I144" s="32">
        <f>N(7214.7)</f>
        <v>7214.7</v>
      </c>
      <c r="J144" s="30">
        <f t="shared" si="30"/>
        <v>-20583.059999999998</v>
      </c>
      <c r="K144" s="30"/>
      <c r="L144" s="30">
        <f t="shared" si="31"/>
        <v>-285.29335939124286</v>
      </c>
      <c r="M144" s="5">
        <f>N(27797.76)</f>
        <v>27797.759999999998</v>
      </c>
      <c r="N144" s="30">
        <f>N(19000)</f>
        <v>19000</v>
      </c>
      <c r="O144" s="30">
        <f t="shared" si="32"/>
        <v>-8797.7599999999984</v>
      </c>
      <c r="P144" s="30"/>
      <c r="Q144" s="30">
        <f t="shared" si="33"/>
        <v>-46.303999999999995</v>
      </c>
      <c r="R144" s="32">
        <f>N(7214.7)</f>
        <v>7214.7</v>
      </c>
      <c r="S144" s="33">
        <f t="shared" si="34"/>
        <v>-20583.059999999998</v>
      </c>
      <c r="T144" s="34"/>
      <c r="U144" s="34">
        <f t="shared" si="35"/>
        <v>-285.29335939124286</v>
      </c>
    </row>
    <row r="145" spans="1:21" hidden="1" outlineLevel="1">
      <c r="A145" s="22"/>
      <c r="B145" s="35" t="str">
        <f>"    "&amp;"Kontor, oppdatering o.l."</f>
        <v xml:space="preserve">    Kontor, oppdatering o.l.</v>
      </c>
      <c r="C145" s="36"/>
      <c r="D145" s="37">
        <f>SUM(D138:D144)</f>
        <v>372327.17</v>
      </c>
      <c r="E145" s="33">
        <f>SUM(E138:E144)</f>
        <v>425180.62000000005</v>
      </c>
      <c r="F145" s="33">
        <f t="shared" si="28"/>
        <v>52853.45000000007</v>
      </c>
      <c r="G145" s="33"/>
      <c r="H145" s="38">
        <f t="shared" si="29"/>
        <v>12.43082292885317</v>
      </c>
      <c r="I145" s="39">
        <f>SUM(I138:I144)</f>
        <v>712322.09</v>
      </c>
      <c r="J145" s="33">
        <f t="shared" si="30"/>
        <v>339994.92</v>
      </c>
      <c r="K145" s="33"/>
      <c r="L145" s="33">
        <f t="shared" si="31"/>
        <v>47.730503486140663</v>
      </c>
      <c r="M145" s="37">
        <f>SUM(M138:M144)</f>
        <v>372327.17</v>
      </c>
      <c r="N145" s="33">
        <f>SUM(N138:N144)</f>
        <v>425180.62000000005</v>
      </c>
      <c r="O145" s="33">
        <f t="shared" si="32"/>
        <v>52853.45000000007</v>
      </c>
      <c r="P145" s="33"/>
      <c r="Q145" s="33">
        <f t="shared" si="33"/>
        <v>12.43082292885317</v>
      </c>
      <c r="R145" s="39">
        <f>SUM(R138:R144)</f>
        <v>712322.09</v>
      </c>
      <c r="S145" s="33">
        <f t="shared" si="34"/>
        <v>339994.92</v>
      </c>
      <c r="T145" s="34"/>
      <c r="U145" s="34">
        <f t="shared" si="35"/>
        <v>47.730503486140663</v>
      </c>
    </row>
    <row r="146" spans="1:21" hidden="1" outlineLevel="2">
      <c r="A146" s="22"/>
      <c r="B146" s="28">
        <v>6900</v>
      </c>
      <c r="C146" s="29" t="s">
        <v>167</v>
      </c>
      <c r="D146" s="5">
        <f>N(50034.63)</f>
        <v>50034.63</v>
      </c>
      <c r="E146" s="30">
        <f>N(63800)</f>
        <v>63800</v>
      </c>
      <c r="F146" s="30">
        <f t="shared" si="28"/>
        <v>13765.370000000003</v>
      </c>
      <c r="G146" s="30"/>
      <c r="H146" s="31">
        <f t="shared" si="29"/>
        <v>21.575815047021948</v>
      </c>
      <c r="I146" s="32">
        <f>N(45022.11)</f>
        <v>45022.11</v>
      </c>
      <c r="J146" s="30">
        <f t="shared" si="30"/>
        <v>-5012.5199999999968</v>
      </c>
      <c r="K146" s="30"/>
      <c r="L146" s="30">
        <f t="shared" si="31"/>
        <v>-11.133463091800888</v>
      </c>
      <c r="M146" s="5">
        <f>N(50034.63)</f>
        <v>50034.63</v>
      </c>
      <c r="N146" s="30">
        <f>N(63800)</f>
        <v>63800</v>
      </c>
      <c r="O146" s="30">
        <f t="shared" si="32"/>
        <v>13765.370000000003</v>
      </c>
      <c r="P146" s="30"/>
      <c r="Q146" s="30">
        <f t="shared" si="33"/>
        <v>21.575815047021948</v>
      </c>
      <c r="R146" s="32">
        <f>N(45022.11)</f>
        <v>45022.11</v>
      </c>
      <c r="S146" s="33">
        <f t="shared" si="34"/>
        <v>-5012.5199999999968</v>
      </c>
      <c r="T146" s="34"/>
      <c r="U146" s="34">
        <f t="shared" si="35"/>
        <v>-11.133463091800888</v>
      </c>
    </row>
    <row r="147" spans="1:21" hidden="1" outlineLevel="2">
      <c r="A147" s="22"/>
      <c r="B147" s="28">
        <v>6901</v>
      </c>
      <c r="C147" s="29" t="s">
        <v>168</v>
      </c>
      <c r="D147" s="5">
        <f>N(9212.5)</f>
        <v>9212.5</v>
      </c>
      <c r="E147" s="30">
        <f>N(2000)</f>
        <v>2000</v>
      </c>
      <c r="F147" s="30">
        <f t="shared" si="28"/>
        <v>-7212.5</v>
      </c>
      <c r="G147" s="30"/>
      <c r="H147" s="31">
        <f t="shared" si="29"/>
        <v>-360.625</v>
      </c>
      <c r="I147" s="32">
        <f>N(1948.42)</f>
        <v>1948.42</v>
      </c>
      <c r="J147" s="30">
        <f t="shared" si="30"/>
        <v>-7264.08</v>
      </c>
      <c r="K147" s="30"/>
      <c r="L147" s="30">
        <f t="shared" si="31"/>
        <v>-372.81900206321018</v>
      </c>
      <c r="M147" s="5">
        <f>N(9212.5)</f>
        <v>9212.5</v>
      </c>
      <c r="N147" s="30">
        <f>N(2000)</f>
        <v>2000</v>
      </c>
      <c r="O147" s="30">
        <f t="shared" si="32"/>
        <v>-7212.5</v>
      </c>
      <c r="P147" s="30"/>
      <c r="Q147" s="30">
        <f t="shared" si="33"/>
        <v>-360.625</v>
      </c>
      <c r="R147" s="32">
        <f>N(1948.42)</f>
        <v>1948.42</v>
      </c>
      <c r="S147" s="33">
        <f t="shared" si="34"/>
        <v>-7264.08</v>
      </c>
      <c r="T147" s="34"/>
      <c r="U147" s="34">
        <f t="shared" si="35"/>
        <v>-372.81900206321018</v>
      </c>
    </row>
    <row r="148" spans="1:21" hidden="1" outlineLevel="2">
      <c r="A148" s="22"/>
      <c r="B148" s="28">
        <v>6902</v>
      </c>
      <c r="C148" s="29" t="s">
        <v>169</v>
      </c>
      <c r="D148" s="5">
        <f>N(15875)</f>
        <v>15875</v>
      </c>
      <c r="E148" s="30">
        <f>N(40000.33)</f>
        <v>40000.33</v>
      </c>
      <c r="F148" s="30">
        <f t="shared" si="28"/>
        <v>24125.33</v>
      </c>
      <c r="G148" s="30"/>
      <c r="H148" s="31">
        <f t="shared" si="29"/>
        <v>60.312827419173786</v>
      </c>
      <c r="I148" s="32">
        <f>N(24671.71)</f>
        <v>24671.71</v>
      </c>
      <c r="J148" s="30">
        <f t="shared" si="30"/>
        <v>8796.7099999999991</v>
      </c>
      <c r="K148" s="30"/>
      <c r="L148" s="30">
        <f t="shared" si="31"/>
        <v>35.655047826032323</v>
      </c>
      <c r="M148" s="5">
        <f>N(15875)</f>
        <v>15875</v>
      </c>
      <c r="N148" s="30">
        <f>N(40000.33)</f>
        <v>40000.33</v>
      </c>
      <c r="O148" s="30">
        <f t="shared" si="32"/>
        <v>24125.33</v>
      </c>
      <c r="P148" s="30"/>
      <c r="Q148" s="30">
        <f t="shared" si="33"/>
        <v>60.312827419173786</v>
      </c>
      <c r="R148" s="32">
        <f>N(24671.71)</f>
        <v>24671.71</v>
      </c>
      <c r="S148" s="33">
        <f t="shared" si="34"/>
        <v>8796.7099999999991</v>
      </c>
      <c r="T148" s="34"/>
      <c r="U148" s="34">
        <f t="shared" si="35"/>
        <v>35.655047826032323</v>
      </c>
    </row>
    <row r="149" spans="1:21" hidden="1" outlineLevel="2">
      <c r="A149" s="22"/>
      <c r="B149" s="28">
        <v>6905</v>
      </c>
      <c r="C149" s="29" t="s">
        <v>170</v>
      </c>
      <c r="D149" s="5">
        <f>N(242237.31)</f>
        <v>242237.31</v>
      </c>
      <c r="E149" s="30">
        <f>N(20000)</f>
        <v>20000</v>
      </c>
      <c r="F149" s="30">
        <f t="shared" si="28"/>
        <v>-222237.31</v>
      </c>
      <c r="G149" s="30"/>
      <c r="H149" s="31">
        <f t="shared" si="29"/>
        <v>-1111.1865499999999</v>
      </c>
      <c r="I149" s="32">
        <f>N(30095.48)</f>
        <v>30095.48</v>
      </c>
      <c r="J149" s="30">
        <f t="shared" si="30"/>
        <v>-212141.83</v>
      </c>
      <c r="K149" s="30"/>
      <c r="L149" s="30">
        <f t="shared" si="31"/>
        <v>-704.89598438037876</v>
      </c>
      <c r="M149" s="5">
        <f>N(242237.31)</f>
        <v>242237.31</v>
      </c>
      <c r="N149" s="30">
        <f>N(20000)</f>
        <v>20000</v>
      </c>
      <c r="O149" s="30">
        <f t="shared" si="32"/>
        <v>-222237.31</v>
      </c>
      <c r="P149" s="30"/>
      <c r="Q149" s="30">
        <f t="shared" si="33"/>
        <v>-1111.1865499999999</v>
      </c>
      <c r="R149" s="32">
        <f>N(30095.48)</f>
        <v>30095.48</v>
      </c>
      <c r="S149" s="33">
        <f t="shared" si="34"/>
        <v>-212141.83</v>
      </c>
      <c r="T149" s="34"/>
      <c r="U149" s="34">
        <f t="shared" si="35"/>
        <v>-704.89598438037876</v>
      </c>
    </row>
    <row r="150" spans="1:21" hidden="1" outlineLevel="2">
      <c r="A150" s="22"/>
      <c r="B150" s="28">
        <v>6940</v>
      </c>
      <c r="C150" s="29" t="s">
        <v>171</v>
      </c>
      <c r="D150" s="5">
        <f>N(54956.23)</f>
        <v>54956.23</v>
      </c>
      <c r="E150" s="30">
        <f>N(0)</f>
        <v>0</v>
      </c>
      <c r="F150" s="30">
        <f t="shared" si="28"/>
        <v>-54956.23</v>
      </c>
      <c r="G150" s="30"/>
      <c r="H150" s="31">
        <f t="shared" si="29"/>
        <v>0</v>
      </c>
      <c r="I150" s="32">
        <f>N(64301.16)</f>
        <v>64301.16</v>
      </c>
      <c r="J150" s="30">
        <f t="shared" si="30"/>
        <v>9344.93</v>
      </c>
      <c r="K150" s="30"/>
      <c r="L150" s="30">
        <f t="shared" si="31"/>
        <v>14.533065966461569</v>
      </c>
      <c r="M150" s="5">
        <f>N(54956.23)</f>
        <v>54956.23</v>
      </c>
      <c r="N150" s="30">
        <f>N(0)</f>
        <v>0</v>
      </c>
      <c r="O150" s="30">
        <f t="shared" si="32"/>
        <v>-54956.23</v>
      </c>
      <c r="P150" s="30"/>
      <c r="Q150" s="30">
        <f t="shared" si="33"/>
        <v>0</v>
      </c>
      <c r="R150" s="32">
        <f>N(64301.16)</f>
        <v>64301.16</v>
      </c>
      <c r="S150" s="33">
        <f t="shared" si="34"/>
        <v>9344.93</v>
      </c>
      <c r="T150" s="34"/>
      <c r="U150" s="34">
        <f t="shared" si="35"/>
        <v>14.533065966461569</v>
      </c>
    </row>
    <row r="151" spans="1:21" hidden="1" outlineLevel="1">
      <c r="A151" s="22"/>
      <c r="B151" s="35" t="str">
        <f>"    "&amp;"Telefon og porto o.l."</f>
        <v xml:space="preserve">    Telefon og porto o.l.</v>
      </c>
      <c r="C151" s="36"/>
      <c r="D151" s="37">
        <f>SUM(D146:D150)</f>
        <v>372315.67</v>
      </c>
      <c r="E151" s="33">
        <f>SUM(E146:E150)</f>
        <v>125800.33</v>
      </c>
      <c r="F151" s="33">
        <f t="shared" si="28"/>
        <v>-246515.33999999997</v>
      </c>
      <c r="G151" s="33"/>
      <c r="H151" s="38">
        <f t="shared" si="29"/>
        <v>-195.95762586632321</v>
      </c>
      <c r="I151" s="39">
        <f>SUM(I146:I150)</f>
        <v>166038.88</v>
      </c>
      <c r="J151" s="33">
        <f t="shared" si="30"/>
        <v>-206276.78999999998</v>
      </c>
      <c r="K151" s="33"/>
      <c r="L151" s="33">
        <f t="shared" si="31"/>
        <v>-124.23402880096515</v>
      </c>
      <c r="M151" s="37">
        <f>SUM(M146:M150)</f>
        <v>372315.67</v>
      </c>
      <c r="N151" s="33">
        <f>SUM(N146:N150)</f>
        <v>125800.33</v>
      </c>
      <c r="O151" s="33">
        <f t="shared" si="32"/>
        <v>-246515.33999999997</v>
      </c>
      <c r="P151" s="33"/>
      <c r="Q151" s="33">
        <f t="shared" si="33"/>
        <v>-195.95762586632321</v>
      </c>
      <c r="R151" s="39">
        <f>SUM(R146:R150)</f>
        <v>166038.88</v>
      </c>
      <c r="S151" s="33">
        <f t="shared" si="34"/>
        <v>-206276.78999999998</v>
      </c>
      <c r="T151" s="34"/>
      <c r="U151" s="34">
        <f t="shared" si="35"/>
        <v>-124.23402880096515</v>
      </c>
    </row>
    <row r="152" spans="1:21" hidden="1" outlineLevel="2">
      <c r="A152" s="22"/>
      <c r="B152" s="28">
        <v>7171</v>
      </c>
      <c r="C152" s="29" t="s">
        <v>172</v>
      </c>
      <c r="D152" s="5">
        <f>N(0)</f>
        <v>0</v>
      </c>
      <c r="E152" s="30">
        <f>N(0)</f>
        <v>0</v>
      </c>
      <c r="F152" s="30">
        <f t="shared" si="28"/>
        <v>0</v>
      </c>
      <c r="G152" s="30"/>
      <c r="H152" s="31">
        <f t="shared" si="29"/>
        <v>0</v>
      </c>
      <c r="I152" s="32">
        <f>N(0)</f>
        <v>0</v>
      </c>
      <c r="J152" s="30">
        <f t="shared" si="30"/>
        <v>0</v>
      </c>
      <c r="K152" s="30"/>
      <c r="L152" s="30">
        <f t="shared" si="31"/>
        <v>0</v>
      </c>
      <c r="M152" s="5">
        <f>N(0)</f>
        <v>0</v>
      </c>
      <c r="N152" s="30">
        <f>N(0)</f>
        <v>0</v>
      </c>
      <c r="O152" s="30">
        <f t="shared" si="32"/>
        <v>0</v>
      </c>
      <c r="P152" s="30"/>
      <c r="Q152" s="30">
        <f t="shared" si="33"/>
        <v>0</v>
      </c>
      <c r="R152" s="32">
        <f>N(0)</f>
        <v>0</v>
      </c>
      <c r="S152" s="33">
        <f t="shared" si="34"/>
        <v>0</v>
      </c>
      <c r="T152" s="34"/>
      <c r="U152" s="34">
        <f t="shared" si="35"/>
        <v>0</v>
      </c>
    </row>
    <row r="153" spans="1:21" hidden="1" outlineLevel="2">
      <c r="A153" s="22"/>
      <c r="B153" s="28">
        <v>7730</v>
      </c>
      <c r="C153" s="29" t="s">
        <v>173</v>
      </c>
      <c r="D153" s="5">
        <f>N(3024267.58)</f>
        <v>3024267.58</v>
      </c>
      <c r="E153" s="30">
        <f>N(3566496)</f>
        <v>3566496</v>
      </c>
      <c r="F153" s="30">
        <f t="shared" si="28"/>
        <v>542228.41999999993</v>
      </c>
      <c r="G153" s="30"/>
      <c r="H153" s="31">
        <f t="shared" si="29"/>
        <v>15.203393470790376</v>
      </c>
      <c r="I153" s="32">
        <f>N(3668286.99)</f>
        <v>3668286.99</v>
      </c>
      <c r="J153" s="30">
        <f t="shared" si="30"/>
        <v>644019.41000000015</v>
      </c>
      <c r="K153" s="30"/>
      <c r="L153" s="30">
        <f t="shared" si="31"/>
        <v>17.556407439102799</v>
      </c>
      <c r="M153" s="5">
        <f>N(3024267.58)</f>
        <v>3024267.58</v>
      </c>
      <c r="N153" s="30">
        <f>N(3566496)</f>
        <v>3566496</v>
      </c>
      <c r="O153" s="30">
        <f t="shared" si="32"/>
        <v>542228.41999999993</v>
      </c>
      <c r="P153" s="30"/>
      <c r="Q153" s="30">
        <f t="shared" si="33"/>
        <v>15.203393470790376</v>
      </c>
      <c r="R153" s="32">
        <f>N(3668286.99)</f>
        <v>3668286.99</v>
      </c>
      <c r="S153" s="33">
        <f t="shared" si="34"/>
        <v>644019.41000000015</v>
      </c>
      <c r="T153" s="34"/>
      <c r="U153" s="34">
        <f t="shared" si="35"/>
        <v>17.556407439102799</v>
      </c>
    </row>
    <row r="154" spans="1:21" hidden="1" outlineLevel="2">
      <c r="A154" s="22"/>
      <c r="B154" s="28">
        <v>7731</v>
      </c>
      <c r="C154" s="29" t="s">
        <v>174</v>
      </c>
      <c r="D154" s="5">
        <f>N(3419208)</f>
        <v>3419208</v>
      </c>
      <c r="E154" s="30">
        <f>N(3644860)</f>
        <v>3644860</v>
      </c>
      <c r="F154" s="30">
        <f t="shared" si="28"/>
        <v>225652</v>
      </c>
      <c r="G154" s="30"/>
      <c r="H154" s="31">
        <f t="shared" si="29"/>
        <v>6.1909648107197537</v>
      </c>
      <c r="I154" s="32">
        <f>N(3601489)</f>
        <v>3601489</v>
      </c>
      <c r="J154" s="30">
        <f t="shared" si="30"/>
        <v>182281</v>
      </c>
      <c r="K154" s="30"/>
      <c r="L154" s="30">
        <f t="shared" si="31"/>
        <v>5.061267714548066</v>
      </c>
      <c r="M154" s="5">
        <f>N(3419208)</f>
        <v>3419208</v>
      </c>
      <c r="N154" s="30">
        <f>N(3644860)</f>
        <v>3644860</v>
      </c>
      <c r="O154" s="30">
        <f t="shared" si="32"/>
        <v>225652</v>
      </c>
      <c r="P154" s="30"/>
      <c r="Q154" s="30">
        <f t="shared" si="33"/>
        <v>6.1909648107197537</v>
      </c>
      <c r="R154" s="32">
        <f>N(3601489)</f>
        <v>3601489</v>
      </c>
      <c r="S154" s="33">
        <f t="shared" si="34"/>
        <v>182281</v>
      </c>
      <c r="T154" s="34"/>
      <c r="U154" s="34">
        <f t="shared" si="35"/>
        <v>5.061267714548066</v>
      </c>
    </row>
    <row r="155" spans="1:21" hidden="1" outlineLevel="2">
      <c r="A155" s="22"/>
      <c r="B155" s="28">
        <v>7735</v>
      </c>
      <c r="C155" s="29" t="s">
        <v>175</v>
      </c>
      <c r="D155" s="5">
        <f>N(1047192.36)</f>
        <v>1047192.36</v>
      </c>
      <c r="E155" s="30">
        <f>N(1383597)</f>
        <v>1383597</v>
      </c>
      <c r="F155" s="30">
        <f t="shared" si="28"/>
        <v>336404.64</v>
      </c>
      <c r="G155" s="30"/>
      <c r="H155" s="31">
        <f t="shared" si="29"/>
        <v>24.313773447036962</v>
      </c>
      <c r="I155" s="32">
        <f>N(1180504.7)</f>
        <v>1180504.7</v>
      </c>
      <c r="J155" s="30">
        <f t="shared" si="30"/>
        <v>133312.33999999997</v>
      </c>
      <c r="K155" s="30"/>
      <c r="L155" s="30">
        <f t="shared" si="31"/>
        <v>11.292825856601839</v>
      </c>
      <c r="M155" s="5">
        <f>N(1047192.36)</f>
        <v>1047192.36</v>
      </c>
      <c r="N155" s="30">
        <f>N(1383597)</f>
        <v>1383597</v>
      </c>
      <c r="O155" s="30">
        <f t="shared" si="32"/>
        <v>336404.64</v>
      </c>
      <c r="P155" s="30"/>
      <c r="Q155" s="30">
        <f t="shared" si="33"/>
        <v>24.313773447036962</v>
      </c>
      <c r="R155" s="32">
        <f>N(1180504.7)</f>
        <v>1180504.7</v>
      </c>
      <c r="S155" s="33">
        <f t="shared" si="34"/>
        <v>133312.33999999997</v>
      </c>
      <c r="T155" s="34"/>
      <c r="U155" s="34">
        <f t="shared" si="35"/>
        <v>11.292825856601839</v>
      </c>
    </row>
    <row r="156" spans="1:21" hidden="1" outlineLevel="1">
      <c r="A156" s="22"/>
      <c r="B156" s="35" t="str">
        <f>"    "&amp;"Evangelisering og misjon"</f>
        <v xml:space="preserve">    Evangelisering og misjon</v>
      </c>
      <c r="C156" s="36"/>
      <c r="D156" s="37">
        <f>SUM(D152:D155)</f>
        <v>7490667.9400000004</v>
      </c>
      <c r="E156" s="33">
        <f>SUM(E152:E155)</f>
        <v>8594953</v>
      </c>
      <c r="F156" s="33">
        <f t="shared" si="28"/>
        <v>1104285.0599999996</v>
      </c>
      <c r="G156" s="33"/>
      <c r="H156" s="38">
        <f t="shared" si="29"/>
        <v>12.848063974288161</v>
      </c>
      <c r="I156" s="39">
        <f>SUM(I152:I155)</f>
        <v>8450280.6899999995</v>
      </c>
      <c r="J156" s="33">
        <f t="shared" si="30"/>
        <v>959612.74999999907</v>
      </c>
      <c r="K156" s="33"/>
      <c r="L156" s="33">
        <f t="shared" si="31"/>
        <v>11.35598668498193</v>
      </c>
      <c r="M156" s="37">
        <f>SUM(M152:M155)</f>
        <v>7490667.9400000004</v>
      </c>
      <c r="N156" s="33">
        <f>SUM(N152:N155)</f>
        <v>8594953</v>
      </c>
      <c r="O156" s="33">
        <f t="shared" si="32"/>
        <v>1104285.0599999996</v>
      </c>
      <c r="P156" s="33"/>
      <c r="Q156" s="33">
        <f t="shared" si="33"/>
        <v>12.848063974288161</v>
      </c>
      <c r="R156" s="39">
        <f>SUM(R152:R155)</f>
        <v>8450280.6899999995</v>
      </c>
      <c r="S156" s="33">
        <f t="shared" si="34"/>
        <v>959612.74999999907</v>
      </c>
      <c r="T156" s="34"/>
      <c r="U156" s="34">
        <f t="shared" si="35"/>
        <v>11.35598668498193</v>
      </c>
    </row>
    <row r="157" spans="1:21" hidden="1" outlineLevel="2">
      <c r="A157" s="22"/>
      <c r="B157" s="28">
        <v>7100</v>
      </c>
      <c r="C157" s="29" t="s">
        <v>176</v>
      </c>
      <c r="D157" s="5">
        <f>N(65773.85)</f>
        <v>65773.850000000006</v>
      </c>
      <c r="E157" s="30">
        <f>N(69880)</f>
        <v>69880</v>
      </c>
      <c r="F157" s="30">
        <f t="shared" si="28"/>
        <v>4106.1499999999942</v>
      </c>
      <c r="G157" s="30"/>
      <c r="H157" s="31">
        <f t="shared" si="29"/>
        <v>5.8760017172295278</v>
      </c>
      <c r="I157" s="32">
        <f>N(93013.7)</f>
        <v>93013.7</v>
      </c>
      <c r="J157" s="30">
        <f t="shared" si="30"/>
        <v>27239.849999999991</v>
      </c>
      <c r="K157" s="30"/>
      <c r="L157" s="30">
        <f t="shared" si="31"/>
        <v>29.285847138647309</v>
      </c>
      <c r="M157" s="5">
        <f>N(65773.85)</f>
        <v>65773.850000000006</v>
      </c>
      <c r="N157" s="30">
        <f>N(69880)</f>
        <v>69880</v>
      </c>
      <c r="O157" s="30">
        <f t="shared" si="32"/>
        <v>4106.1499999999942</v>
      </c>
      <c r="P157" s="30"/>
      <c r="Q157" s="30">
        <f t="shared" si="33"/>
        <v>5.8760017172295278</v>
      </c>
      <c r="R157" s="32">
        <f>N(93013.7)</f>
        <v>93013.7</v>
      </c>
      <c r="S157" s="33">
        <f t="shared" si="34"/>
        <v>27239.849999999991</v>
      </c>
      <c r="T157" s="34"/>
      <c r="U157" s="34">
        <f t="shared" si="35"/>
        <v>29.285847138647309</v>
      </c>
    </row>
    <row r="158" spans="1:21" hidden="1" outlineLevel="2">
      <c r="A158" s="22"/>
      <c r="B158" s="28">
        <v>7101</v>
      </c>
      <c r="C158" s="29" t="s">
        <v>177</v>
      </c>
      <c r="D158" s="5">
        <f>N(179419.55)</f>
        <v>179419.55</v>
      </c>
      <c r="E158" s="30">
        <f>N(115116)</f>
        <v>115116</v>
      </c>
      <c r="F158" s="30">
        <f t="shared" si="28"/>
        <v>-64303.549999999988</v>
      </c>
      <c r="G158" s="30"/>
      <c r="H158" s="31">
        <f t="shared" si="29"/>
        <v>-55.859784912609882</v>
      </c>
      <c r="I158" s="32">
        <f>N(123986.65)</f>
        <v>123986.65</v>
      </c>
      <c r="J158" s="30">
        <f t="shared" si="30"/>
        <v>-55432.899999999994</v>
      </c>
      <c r="K158" s="30"/>
      <c r="L158" s="30">
        <f t="shared" si="31"/>
        <v>-44.708765016233599</v>
      </c>
      <c r="M158" s="5">
        <f>N(179419.55)</f>
        <v>179419.55</v>
      </c>
      <c r="N158" s="30">
        <f>N(115116)</f>
        <v>115116</v>
      </c>
      <c r="O158" s="30">
        <f t="shared" si="32"/>
        <v>-64303.549999999988</v>
      </c>
      <c r="P158" s="30"/>
      <c r="Q158" s="30">
        <f t="shared" si="33"/>
        <v>-55.859784912609882</v>
      </c>
      <c r="R158" s="32">
        <f>N(123986.65)</f>
        <v>123986.65</v>
      </c>
      <c r="S158" s="33">
        <f t="shared" si="34"/>
        <v>-55432.899999999994</v>
      </c>
      <c r="T158" s="34"/>
      <c r="U158" s="34">
        <f t="shared" si="35"/>
        <v>-44.708765016233599</v>
      </c>
    </row>
    <row r="159" spans="1:21" hidden="1" outlineLevel="2">
      <c r="A159" s="22"/>
      <c r="B159" s="28">
        <v>7140</v>
      </c>
      <c r="C159" s="29" t="s">
        <v>178</v>
      </c>
      <c r="D159" s="5">
        <f>N(766062.37)</f>
        <v>766062.37</v>
      </c>
      <c r="E159" s="30">
        <f>N(1402199.96)</f>
        <v>1402199.96</v>
      </c>
      <c r="F159" s="30">
        <f t="shared" si="28"/>
        <v>636137.59</v>
      </c>
      <c r="G159" s="30"/>
      <c r="H159" s="31">
        <f t="shared" si="29"/>
        <v>45.367109409987435</v>
      </c>
      <c r="I159" s="32">
        <f>N(1522383.08)</f>
        <v>1522383.08</v>
      </c>
      <c r="J159" s="30">
        <f t="shared" si="30"/>
        <v>756320.71000000008</v>
      </c>
      <c r="K159" s="30"/>
      <c r="L159" s="30">
        <f t="shared" si="31"/>
        <v>49.680052276986693</v>
      </c>
      <c r="M159" s="5">
        <f>N(766062.37)</f>
        <v>766062.37</v>
      </c>
      <c r="N159" s="30">
        <f>N(1402199.96)</f>
        <v>1402199.96</v>
      </c>
      <c r="O159" s="30">
        <f t="shared" si="32"/>
        <v>636137.59</v>
      </c>
      <c r="P159" s="30"/>
      <c r="Q159" s="30">
        <f t="shared" si="33"/>
        <v>45.367109409987435</v>
      </c>
      <c r="R159" s="32">
        <f>N(1522383.08)</f>
        <v>1522383.08</v>
      </c>
      <c r="S159" s="33">
        <f t="shared" si="34"/>
        <v>756320.71000000008</v>
      </c>
      <c r="T159" s="34"/>
      <c r="U159" s="34">
        <f t="shared" si="35"/>
        <v>49.680052276986693</v>
      </c>
    </row>
    <row r="160" spans="1:21" hidden="1" outlineLevel="2">
      <c r="A160" s="22"/>
      <c r="B160" s="28">
        <v>7150</v>
      </c>
      <c r="C160" s="29" t="s">
        <v>180</v>
      </c>
      <c r="D160" s="5">
        <f>N(5906)</f>
        <v>5906</v>
      </c>
      <c r="E160" s="30">
        <f>N(24999.96)</f>
        <v>24999.96</v>
      </c>
      <c r="F160" s="30">
        <f t="shared" si="28"/>
        <v>19093.96</v>
      </c>
      <c r="G160" s="30"/>
      <c r="H160" s="31">
        <f t="shared" si="29"/>
        <v>76.375962201539522</v>
      </c>
      <c r="I160" s="32">
        <f>N(34947)</f>
        <v>34947</v>
      </c>
      <c r="J160" s="30">
        <f t="shared" si="30"/>
        <v>29041</v>
      </c>
      <c r="K160" s="30"/>
      <c r="L160" s="30">
        <f t="shared" si="31"/>
        <v>83.100123043465814</v>
      </c>
      <c r="M160" s="5">
        <f>N(5906)</f>
        <v>5906</v>
      </c>
      <c r="N160" s="30">
        <f>N(24999.96)</f>
        <v>24999.96</v>
      </c>
      <c r="O160" s="30">
        <f t="shared" si="32"/>
        <v>19093.96</v>
      </c>
      <c r="P160" s="30"/>
      <c r="Q160" s="30">
        <f t="shared" si="33"/>
        <v>76.375962201539522</v>
      </c>
      <c r="R160" s="32">
        <f>N(34947)</f>
        <v>34947</v>
      </c>
      <c r="S160" s="33">
        <f t="shared" si="34"/>
        <v>29041</v>
      </c>
      <c r="T160" s="34"/>
      <c r="U160" s="34">
        <f t="shared" si="35"/>
        <v>83.100123043465814</v>
      </c>
    </row>
    <row r="161" spans="1:21" hidden="1" outlineLevel="2">
      <c r="A161" s="22"/>
      <c r="B161" s="28">
        <v>7151</v>
      </c>
      <c r="C161" s="29" t="s">
        <v>181</v>
      </c>
      <c r="D161" s="5">
        <f>N(2515)</f>
        <v>2515</v>
      </c>
      <c r="E161" s="30">
        <f>N(10000)</f>
        <v>10000</v>
      </c>
      <c r="F161" s="30">
        <f t="shared" si="28"/>
        <v>7485</v>
      </c>
      <c r="G161" s="30"/>
      <c r="H161" s="31">
        <f t="shared" si="29"/>
        <v>74.849999999999994</v>
      </c>
      <c r="I161" s="32">
        <f>N(11887)</f>
        <v>11887</v>
      </c>
      <c r="J161" s="30">
        <f t="shared" si="30"/>
        <v>9372</v>
      </c>
      <c r="K161" s="30"/>
      <c r="L161" s="30">
        <f t="shared" si="31"/>
        <v>78.842432909901575</v>
      </c>
      <c r="M161" s="5">
        <f>N(2515)</f>
        <v>2515</v>
      </c>
      <c r="N161" s="30">
        <f>N(10000)</f>
        <v>10000</v>
      </c>
      <c r="O161" s="30">
        <f t="shared" si="32"/>
        <v>7485</v>
      </c>
      <c r="P161" s="30"/>
      <c r="Q161" s="30">
        <f t="shared" si="33"/>
        <v>74.849999999999994</v>
      </c>
      <c r="R161" s="32">
        <f>N(11887)</f>
        <v>11887</v>
      </c>
      <c r="S161" s="33">
        <f t="shared" si="34"/>
        <v>9372</v>
      </c>
      <c r="T161" s="34"/>
      <c r="U161" s="34">
        <f t="shared" si="35"/>
        <v>78.842432909901575</v>
      </c>
    </row>
    <row r="162" spans="1:21" hidden="1" outlineLevel="2">
      <c r="A162" s="22"/>
      <c r="B162" s="28">
        <v>7170</v>
      </c>
      <c r="C162" s="29" t="s">
        <v>182</v>
      </c>
      <c r="D162" s="5">
        <f>N(43617)</f>
        <v>43617</v>
      </c>
      <c r="E162" s="30">
        <f>N(0)</f>
        <v>0</v>
      </c>
      <c r="F162" s="30">
        <f t="shared" si="28"/>
        <v>-43617</v>
      </c>
      <c r="G162" s="30"/>
      <c r="H162" s="31">
        <f t="shared" si="29"/>
        <v>0</v>
      </c>
      <c r="I162" s="32">
        <f>N(14705.6)</f>
        <v>14705.6</v>
      </c>
      <c r="J162" s="30">
        <f t="shared" si="30"/>
        <v>-28911.4</v>
      </c>
      <c r="K162" s="30"/>
      <c r="L162" s="30">
        <f t="shared" si="31"/>
        <v>-196.6012947448591</v>
      </c>
      <c r="M162" s="5">
        <f>N(43617)</f>
        <v>43617</v>
      </c>
      <c r="N162" s="30">
        <f>N(0)</f>
        <v>0</v>
      </c>
      <c r="O162" s="30">
        <f t="shared" si="32"/>
        <v>-43617</v>
      </c>
      <c r="P162" s="30"/>
      <c r="Q162" s="30">
        <f t="shared" si="33"/>
        <v>0</v>
      </c>
      <c r="R162" s="32">
        <f>N(14705.6)</f>
        <v>14705.6</v>
      </c>
      <c r="S162" s="33">
        <f t="shared" si="34"/>
        <v>-28911.4</v>
      </c>
      <c r="T162" s="34"/>
      <c r="U162" s="34">
        <f t="shared" si="35"/>
        <v>-196.6012947448591</v>
      </c>
    </row>
    <row r="163" spans="1:21" hidden="1" outlineLevel="1">
      <c r="A163" s="22"/>
      <c r="B163" s="35" t="str">
        <f>"    "&amp;"Reise"</f>
        <v xml:space="preserve">    Reise</v>
      </c>
      <c r="C163" s="36"/>
      <c r="D163" s="37">
        <f>SUM(D157:D162)</f>
        <v>1063293.77</v>
      </c>
      <c r="E163" s="33">
        <f>SUM(E157:E162)</f>
        <v>1622195.92</v>
      </c>
      <c r="F163" s="33">
        <f t="shared" si="28"/>
        <v>558902.14999999991</v>
      </c>
      <c r="G163" s="33"/>
      <c r="H163" s="38">
        <f t="shared" si="29"/>
        <v>34.453430877818995</v>
      </c>
      <c r="I163" s="39">
        <f>SUM(I157:I162)</f>
        <v>1800923.0300000003</v>
      </c>
      <c r="J163" s="33">
        <f t="shared" si="30"/>
        <v>737629.26000000024</v>
      </c>
      <c r="K163" s="33"/>
      <c r="L163" s="33">
        <f t="shared" si="31"/>
        <v>40.958400093312157</v>
      </c>
      <c r="M163" s="37">
        <f>SUM(M157:M162)</f>
        <v>1063293.77</v>
      </c>
      <c r="N163" s="33">
        <f>SUM(N157:N162)</f>
        <v>1622195.92</v>
      </c>
      <c r="O163" s="33">
        <f t="shared" si="32"/>
        <v>558902.14999999991</v>
      </c>
      <c r="P163" s="33"/>
      <c r="Q163" s="33">
        <f t="shared" si="33"/>
        <v>34.453430877818995</v>
      </c>
      <c r="R163" s="39">
        <f>SUM(R157:R162)</f>
        <v>1800923.0300000003</v>
      </c>
      <c r="S163" s="33">
        <f t="shared" si="34"/>
        <v>737629.26000000024</v>
      </c>
      <c r="T163" s="34"/>
      <c r="U163" s="34">
        <f t="shared" si="35"/>
        <v>40.958400093312157</v>
      </c>
    </row>
    <row r="164" spans="1:21" hidden="1" outlineLevel="2">
      <c r="A164" s="22"/>
      <c r="B164" s="28">
        <v>7320</v>
      </c>
      <c r="C164" s="29" t="s">
        <v>183</v>
      </c>
      <c r="D164" s="5">
        <f>N(139806)</f>
        <v>139806</v>
      </c>
      <c r="E164" s="30">
        <f>N(22000)</f>
        <v>22000</v>
      </c>
      <c r="F164" s="30">
        <f t="shared" si="28"/>
        <v>-117806</v>
      </c>
      <c r="G164" s="30"/>
      <c r="H164" s="31">
        <f t="shared" si="29"/>
        <v>-535.4818181818182</v>
      </c>
      <c r="I164" s="32">
        <f>N(34080)</f>
        <v>34080</v>
      </c>
      <c r="J164" s="30">
        <f t="shared" si="30"/>
        <v>-105726</v>
      </c>
      <c r="K164" s="30"/>
      <c r="L164" s="30">
        <f t="shared" si="31"/>
        <v>-310.22887323943661</v>
      </c>
      <c r="M164" s="5">
        <f>N(139806)</f>
        <v>139806</v>
      </c>
      <c r="N164" s="30">
        <f>N(22000)</f>
        <v>22000</v>
      </c>
      <c r="O164" s="30">
        <f t="shared" si="32"/>
        <v>-117806</v>
      </c>
      <c r="P164" s="30"/>
      <c r="Q164" s="30">
        <f t="shared" si="33"/>
        <v>-535.4818181818182</v>
      </c>
      <c r="R164" s="32">
        <f>N(34080)</f>
        <v>34080</v>
      </c>
      <c r="S164" s="33">
        <f t="shared" si="34"/>
        <v>-105726</v>
      </c>
      <c r="T164" s="34"/>
      <c r="U164" s="34">
        <f t="shared" si="35"/>
        <v>-310.22887323943661</v>
      </c>
    </row>
    <row r="165" spans="1:21" hidden="1" outlineLevel="2">
      <c r="A165" s="22"/>
      <c r="B165" s="28">
        <v>7331</v>
      </c>
      <c r="C165" s="29" t="s">
        <v>184</v>
      </c>
      <c r="D165" s="5">
        <f>N(0)</f>
        <v>0</v>
      </c>
      <c r="E165" s="30">
        <f>N(4000)</f>
        <v>4000</v>
      </c>
      <c r="F165" s="30">
        <f t="shared" si="28"/>
        <v>4000</v>
      </c>
      <c r="G165" s="30"/>
      <c r="H165" s="31">
        <f t="shared" si="29"/>
        <v>100</v>
      </c>
      <c r="I165" s="32">
        <f>N(6238)</f>
        <v>6238</v>
      </c>
      <c r="J165" s="30">
        <f t="shared" si="30"/>
        <v>6238</v>
      </c>
      <c r="K165" s="30"/>
      <c r="L165" s="30">
        <f t="shared" si="31"/>
        <v>100</v>
      </c>
      <c r="M165" s="5">
        <f>N(0)</f>
        <v>0</v>
      </c>
      <c r="N165" s="30">
        <f>N(4000)</f>
        <v>4000</v>
      </c>
      <c r="O165" s="30">
        <f t="shared" si="32"/>
        <v>4000</v>
      </c>
      <c r="P165" s="30"/>
      <c r="Q165" s="30">
        <f t="shared" si="33"/>
        <v>100</v>
      </c>
      <c r="R165" s="32">
        <f>N(6238)</f>
        <v>6238</v>
      </c>
      <c r="S165" s="33">
        <f t="shared" si="34"/>
        <v>6238</v>
      </c>
      <c r="T165" s="34"/>
      <c r="U165" s="34">
        <f t="shared" si="35"/>
        <v>100</v>
      </c>
    </row>
    <row r="166" spans="1:21" hidden="1" outlineLevel="1">
      <c r="A166" s="22"/>
      <c r="B166" s="35" t="str">
        <f>"    "&amp;"Salgs-, reklame- og representasjonskostnader"</f>
        <v xml:space="preserve">    Salgs-, reklame- og representasjonskostnader</v>
      </c>
      <c r="C166" s="36"/>
      <c r="D166" s="37">
        <f>SUM(D164:D165)</f>
        <v>139806</v>
      </c>
      <c r="E166" s="33">
        <f>SUM(E164:E165)</f>
        <v>26000</v>
      </c>
      <c r="F166" s="33">
        <f t="shared" si="28"/>
        <v>-113806</v>
      </c>
      <c r="G166" s="33"/>
      <c r="H166" s="38">
        <f t="shared" si="29"/>
        <v>-437.71538461538461</v>
      </c>
      <c r="I166" s="39">
        <f>SUM(I164:I165)</f>
        <v>40318</v>
      </c>
      <c r="J166" s="33">
        <f t="shared" si="30"/>
        <v>-99488</v>
      </c>
      <c r="K166" s="33"/>
      <c r="L166" s="33">
        <f t="shared" si="31"/>
        <v>-246.75827173966962</v>
      </c>
      <c r="M166" s="37">
        <f>SUM(M164:M165)</f>
        <v>139806</v>
      </c>
      <c r="N166" s="33">
        <f>SUM(N164:N165)</f>
        <v>26000</v>
      </c>
      <c r="O166" s="33">
        <f t="shared" si="32"/>
        <v>-113806</v>
      </c>
      <c r="P166" s="33"/>
      <c r="Q166" s="33">
        <f t="shared" si="33"/>
        <v>-437.71538461538461</v>
      </c>
      <c r="R166" s="39">
        <f>SUM(R164:R165)</f>
        <v>40318</v>
      </c>
      <c r="S166" s="33">
        <f t="shared" si="34"/>
        <v>-99488</v>
      </c>
      <c r="T166" s="34"/>
      <c r="U166" s="34">
        <f t="shared" si="35"/>
        <v>-246.75827173966962</v>
      </c>
    </row>
    <row r="167" spans="1:21" hidden="1" outlineLevel="2">
      <c r="A167" s="22"/>
      <c r="B167" s="28">
        <v>7410</v>
      </c>
      <c r="C167" s="29" t="s">
        <v>185</v>
      </c>
      <c r="D167" s="5">
        <f>N(226193.44)</f>
        <v>226193.44</v>
      </c>
      <c r="E167" s="30">
        <f>N(288200.33)</f>
        <v>288200.33</v>
      </c>
      <c r="F167" s="30">
        <f t="shared" si="28"/>
        <v>62006.890000000014</v>
      </c>
      <c r="G167" s="30"/>
      <c r="H167" s="31">
        <f t="shared" si="29"/>
        <v>21.515204371903398</v>
      </c>
      <c r="I167" s="32">
        <f>N(228915.82)</f>
        <v>228915.82</v>
      </c>
      <c r="J167" s="30">
        <f t="shared" si="30"/>
        <v>2722.3800000000047</v>
      </c>
      <c r="K167" s="30"/>
      <c r="L167" s="30">
        <f t="shared" si="31"/>
        <v>1.1892493930738401</v>
      </c>
      <c r="M167" s="5">
        <f>N(226193.44)</f>
        <v>226193.44</v>
      </c>
      <c r="N167" s="30">
        <f>N(288200.33)</f>
        <v>288200.33</v>
      </c>
      <c r="O167" s="30">
        <f t="shared" si="32"/>
        <v>62006.890000000014</v>
      </c>
      <c r="P167" s="30"/>
      <c r="Q167" s="30">
        <f t="shared" si="33"/>
        <v>21.515204371903398</v>
      </c>
      <c r="R167" s="32">
        <f>N(228915.82)</f>
        <v>228915.82</v>
      </c>
      <c r="S167" s="33">
        <f t="shared" si="34"/>
        <v>2722.3800000000047</v>
      </c>
      <c r="T167" s="34"/>
      <c r="U167" s="34">
        <f t="shared" si="35"/>
        <v>1.1892493930738401</v>
      </c>
    </row>
    <row r="168" spans="1:21" hidden="1" outlineLevel="2">
      <c r="A168" s="22"/>
      <c r="B168" s="28">
        <v>7430</v>
      </c>
      <c r="C168" s="29" t="s">
        <v>186</v>
      </c>
      <c r="D168" s="5">
        <f>N(0)</f>
        <v>0</v>
      </c>
      <c r="E168" s="30">
        <f>N(2000)</f>
        <v>2000</v>
      </c>
      <c r="F168" s="30">
        <f t="shared" si="28"/>
        <v>2000</v>
      </c>
      <c r="G168" s="30"/>
      <c r="H168" s="31">
        <f t="shared" si="29"/>
        <v>100</v>
      </c>
      <c r="I168" s="32">
        <f>N(12934.2)</f>
        <v>12934.2</v>
      </c>
      <c r="J168" s="30">
        <f t="shared" si="30"/>
        <v>12934.2</v>
      </c>
      <c r="K168" s="30"/>
      <c r="L168" s="30">
        <f t="shared" si="31"/>
        <v>100</v>
      </c>
      <c r="M168" s="5">
        <f>N(0)</f>
        <v>0</v>
      </c>
      <c r="N168" s="30">
        <f>N(2000)</f>
        <v>2000</v>
      </c>
      <c r="O168" s="30">
        <f t="shared" si="32"/>
        <v>2000</v>
      </c>
      <c r="P168" s="30"/>
      <c r="Q168" s="30">
        <f t="shared" si="33"/>
        <v>100</v>
      </c>
      <c r="R168" s="32">
        <f>N(12934.2)</f>
        <v>12934.2</v>
      </c>
      <c r="S168" s="33">
        <f t="shared" si="34"/>
        <v>12934.2</v>
      </c>
      <c r="T168" s="34"/>
      <c r="U168" s="34">
        <f t="shared" si="35"/>
        <v>100</v>
      </c>
    </row>
    <row r="169" spans="1:21" hidden="1" outlineLevel="2">
      <c r="A169" s="22"/>
      <c r="B169" s="28">
        <v>7437</v>
      </c>
      <c r="C169" s="29" t="s">
        <v>188</v>
      </c>
      <c r="D169" s="5">
        <f>N(200000)</f>
        <v>200000</v>
      </c>
      <c r="E169" s="30">
        <f>N(0)</f>
        <v>0</v>
      </c>
      <c r="F169" s="30">
        <f t="shared" si="28"/>
        <v>-200000</v>
      </c>
      <c r="G169" s="30"/>
      <c r="H169" s="31">
        <f t="shared" si="29"/>
        <v>0</v>
      </c>
      <c r="I169" s="32">
        <f>N(1110000)</f>
        <v>1110000</v>
      </c>
      <c r="J169" s="30">
        <f t="shared" si="30"/>
        <v>910000</v>
      </c>
      <c r="K169" s="30"/>
      <c r="L169" s="30">
        <f t="shared" si="31"/>
        <v>81.981981981981988</v>
      </c>
      <c r="M169" s="5">
        <f>N(200000)</f>
        <v>200000</v>
      </c>
      <c r="N169" s="30">
        <f>N(0)</f>
        <v>0</v>
      </c>
      <c r="O169" s="30">
        <f t="shared" si="32"/>
        <v>-200000</v>
      </c>
      <c r="P169" s="30"/>
      <c r="Q169" s="30">
        <f t="shared" si="33"/>
        <v>0</v>
      </c>
      <c r="R169" s="32">
        <f>N(1110000)</f>
        <v>1110000</v>
      </c>
      <c r="S169" s="33">
        <f t="shared" si="34"/>
        <v>910000</v>
      </c>
      <c r="T169" s="34"/>
      <c r="U169" s="34">
        <f t="shared" si="35"/>
        <v>81.981981981981988</v>
      </c>
    </row>
    <row r="170" spans="1:21" hidden="1" outlineLevel="2">
      <c r="A170" s="22"/>
      <c r="B170" s="28">
        <v>7439</v>
      </c>
      <c r="C170" s="29" t="s">
        <v>189</v>
      </c>
      <c r="D170" s="5">
        <f>N(4196376)</f>
        <v>4196376</v>
      </c>
      <c r="E170" s="30">
        <f>N(4837500)</f>
        <v>4837500</v>
      </c>
      <c r="F170" s="30">
        <f t="shared" si="28"/>
        <v>641124</v>
      </c>
      <c r="G170" s="30"/>
      <c r="H170" s="31">
        <f t="shared" si="29"/>
        <v>13.253209302325581</v>
      </c>
      <c r="I170" s="32">
        <f>N(5143600)</f>
        <v>5143600</v>
      </c>
      <c r="J170" s="30">
        <f t="shared" si="30"/>
        <v>947224</v>
      </c>
      <c r="K170" s="30"/>
      <c r="L170" s="30">
        <f t="shared" si="31"/>
        <v>18.415584415584416</v>
      </c>
      <c r="M170" s="5">
        <f>N(4196376)</f>
        <v>4196376</v>
      </c>
      <c r="N170" s="30">
        <f>N(4837500)</f>
        <v>4837500</v>
      </c>
      <c r="O170" s="30">
        <f t="shared" si="32"/>
        <v>641124</v>
      </c>
      <c r="P170" s="30"/>
      <c r="Q170" s="30">
        <f t="shared" si="33"/>
        <v>13.253209302325581</v>
      </c>
      <c r="R170" s="32">
        <f>N(5143600)</f>
        <v>5143600</v>
      </c>
      <c r="S170" s="33">
        <f t="shared" si="34"/>
        <v>947224</v>
      </c>
      <c r="T170" s="34"/>
      <c r="U170" s="34">
        <f t="shared" si="35"/>
        <v>18.415584415584416</v>
      </c>
    </row>
    <row r="171" spans="1:21" hidden="1" outlineLevel="2">
      <c r="A171" s="22"/>
      <c r="B171" s="28">
        <v>7440</v>
      </c>
      <c r="C171" s="29" t="s">
        <v>190</v>
      </c>
      <c r="D171" s="5">
        <f>N(50000)</f>
        <v>50000</v>
      </c>
      <c r="E171" s="30">
        <f>N(0)</f>
        <v>0</v>
      </c>
      <c r="F171" s="30">
        <f t="shared" si="28"/>
        <v>-50000</v>
      </c>
      <c r="G171" s="30"/>
      <c r="H171" s="31">
        <f t="shared" si="29"/>
        <v>0</v>
      </c>
      <c r="I171" s="32">
        <f>N(0)</f>
        <v>0</v>
      </c>
      <c r="J171" s="30">
        <f t="shared" si="30"/>
        <v>-50000</v>
      </c>
      <c r="K171" s="30"/>
      <c r="L171" s="30">
        <f t="shared" si="31"/>
        <v>0</v>
      </c>
      <c r="M171" s="5">
        <f>N(50000)</f>
        <v>50000</v>
      </c>
      <c r="N171" s="30">
        <f>N(0)</f>
        <v>0</v>
      </c>
      <c r="O171" s="30">
        <f t="shared" si="32"/>
        <v>-50000</v>
      </c>
      <c r="P171" s="30"/>
      <c r="Q171" s="30">
        <f t="shared" si="33"/>
        <v>0</v>
      </c>
      <c r="R171" s="32">
        <f>N(0)</f>
        <v>0</v>
      </c>
      <c r="S171" s="33">
        <f t="shared" si="34"/>
        <v>-50000</v>
      </c>
      <c r="T171" s="34"/>
      <c r="U171" s="34">
        <f t="shared" si="35"/>
        <v>0</v>
      </c>
    </row>
    <row r="172" spans="1:21" hidden="1" outlineLevel="2">
      <c r="A172" s="22"/>
      <c r="B172" s="28">
        <v>7445</v>
      </c>
      <c r="C172" s="29" t="s">
        <v>191</v>
      </c>
      <c r="D172" s="5">
        <f>N(106100)</f>
        <v>106100</v>
      </c>
      <c r="E172" s="30">
        <f>N(35400)</f>
        <v>35400</v>
      </c>
      <c r="F172" s="30">
        <f t="shared" si="28"/>
        <v>-70700</v>
      </c>
      <c r="G172" s="30"/>
      <c r="H172" s="31">
        <f t="shared" si="29"/>
        <v>-199.71751412429379</v>
      </c>
      <c r="I172" s="32">
        <f>N(47079)</f>
        <v>47079</v>
      </c>
      <c r="J172" s="30">
        <f t="shared" si="30"/>
        <v>-59021</v>
      </c>
      <c r="K172" s="30"/>
      <c r="L172" s="30">
        <f t="shared" si="31"/>
        <v>-125.36587438135899</v>
      </c>
      <c r="M172" s="5">
        <f>N(106100)</f>
        <v>106100</v>
      </c>
      <c r="N172" s="30">
        <f>N(35400)</f>
        <v>35400</v>
      </c>
      <c r="O172" s="30">
        <f t="shared" si="32"/>
        <v>-70700</v>
      </c>
      <c r="P172" s="30"/>
      <c r="Q172" s="30">
        <f t="shared" si="33"/>
        <v>-199.71751412429379</v>
      </c>
      <c r="R172" s="32">
        <f>N(47079)</f>
        <v>47079</v>
      </c>
      <c r="S172" s="33">
        <f t="shared" si="34"/>
        <v>-59021</v>
      </c>
      <c r="T172" s="34"/>
      <c r="U172" s="34">
        <f t="shared" si="35"/>
        <v>-125.36587438135899</v>
      </c>
    </row>
    <row r="173" spans="1:21" hidden="1" outlineLevel="2">
      <c r="A173" s="22"/>
      <c r="B173" s="28">
        <v>7447</v>
      </c>
      <c r="C173" s="29" t="s">
        <v>192</v>
      </c>
      <c r="D173" s="5">
        <f>N(45000)</f>
        <v>45000</v>
      </c>
      <c r="E173" s="30">
        <f>N(120000)</f>
        <v>120000</v>
      </c>
      <c r="F173" s="30">
        <f t="shared" si="28"/>
        <v>75000</v>
      </c>
      <c r="G173" s="30"/>
      <c r="H173" s="31">
        <f t="shared" si="29"/>
        <v>62.5</v>
      </c>
      <c r="I173" s="32">
        <f>N(87263)</f>
        <v>87263</v>
      </c>
      <c r="J173" s="30">
        <f t="shared" si="30"/>
        <v>42263</v>
      </c>
      <c r="K173" s="30"/>
      <c r="L173" s="30">
        <f t="shared" si="31"/>
        <v>48.431752289057215</v>
      </c>
      <c r="M173" s="5">
        <f>N(45000)</f>
        <v>45000</v>
      </c>
      <c r="N173" s="30">
        <f>N(120000)</f>
        <v>120000</v>
      </c>
      <c r="O173" s="30">
        <f t="shared" si="32"/>
        <v>75000</v>
      </c>
      <c r="P173" s="30"/>
      <c r="Q173" s="30">
        <f t="shared" si="33"/>
        <v>62.5</v>
      </c>
      <c r="R173" s="32">
        <f>N(87263)</f>
        <v>87263</v>
      </c>
      <c r="S173" s="33">
        <f t="shared" si="34"/>
        <v>42263</v>
      </c>
      <c r="T173" s="34"/>
      <c r="U173" s="34">
        <f t="shared" si="35"/>
        <v>48.431752289057215</v>
      </c>
    </row>
    <row r="174" spans="1:21" hidden="1" outlineLevel="2">
      <c r="A174" s="22"/>
      <c r="B174" s="28">
        <v>7448</v>
      </c>
      <c r="C174" s="29" t="s">
        <v>193</v>
      </c>
      <c r="D174" s="5">
        <f>N(275700)</f>
        <v>275700</v>
      </c>
      <c r="E174" s="30">
        <f>N(515000)</f>
        <v>515000</v>
      </c>
      <c r="F174" s="30">
        <f t="shared" si="28"/>
        <v>239300</v>
      </c>
      <c r="G174" s="30"/>
      <c r="H174" s="31">
        <f t="shared" si="29"/>
        <v>46.466019417475728</v>
      </c>
      <c r="I174" s="32">
        <f>N(160000)</f>
        <v>160000</v>
      </c>
      <c r="J174" s="30">
        <f t="shared" si="30"/>
        <v>-115700</v>
      </c>
      <c r="K174" s="30"/>
      <c r="L174" s="30">
        <f t="shared" si="31"/>
        <v>-72.3125</v>
      </c>
      <c r="M174" s="5">
        <f>N(275700)</f>
        <v>275700</v>
      </c>
      <c r="N174" s="30">
        <f>N(515000)</f>
        <v>515000</v>
      </c>
      <c r="O174" s="30">
        <f t="shared" si="32"/>
        <v>239300</v>
      </c>
      <c r="P174" s="30"/>
      <c r="Q174" s="30">
        <f t="shared" si="33"/>
        <v>46.466019417475728</v>
      </c>
      <c r="R174" s="32">
        <f>N(160000)</f>
        <v>160000</v>
      </c>
      <c r="S174" s="33">
        <f t="shared" si="34"/>
        <v>-115700</v>
      </c>
      <c r="T174" s="34"/>
      <c r="U174" s="34">
        <f t="shared" si="35"/>
        <v>-72.3125</v>
      </c>
    </row>
    <row r="175" spans="1:21" hidden="1" outlineLevel="2">
      <c r="A175" s="22"/>
      <c r="B175" s="28">
        <v>7460</v>
      </c>
      <c r="C175" s="29" t="s">
        <v>194</v>
      </c>
      <c r="D175" s="5">
        <f>N(628898.9)</f>
        <v>628898.9</v>
      </c>
      <c r="E175" s="30">
        <f>N(630000)</f>
        <v>630000</v>
      </c>
      <c r="F175" s="30">
        <f t="shared" si="28"/>
        <v>1101.0999999999767</v>
      </c>
      <c r="G175" s="30"/>
      <c r="H175" s="31">
        <f t="shared" si="29"/>
        <v>0.17477777777777409</v>
      </c>
      <c r="I175" s="32">
        <f>N(661206.75)</f>
        <v>661206.75</v>
      </c>
      <c r="J175" s="30">
        <f t="shared" si="30"/>
        <v>32307.849999999977</v>
      </c>
      <c r="K175" s="30"/>
      <c r="L175" s="30">
        <f t="shared" si="31"/>
        <v>4.886194824841092</v>
      </c>
      <c r="M175" s="5">
        <f>N(628898.9)</f>
        <v>628898.9</v>
      </c>
      <c r="N175" s="30">
        <f>N(630000)</f>
        <v>630000</v>
      </c>
      <c r="O175" s="30">
        <f t="shared" si="32"/>
        <v>1101.0999999999767</v>
      </c>
      <c r="P175" s="30"/>
      <c r="Q175" s="30">
        <f t="shared" si="33"/>
        <v>0.17477777777777409</v>
      </c>
      <c r="R175" s="32">
        <f>N(661206.75)</f>
        <v>661206.75</v>
      </c>
      <c r="S175" s="33">
        <f t="shared" si="34"/>
        <v>32307.849999999977</v>
      </c>
      <c r="T175" s="34"/>
      <c r="U175" s="34">
        <f t="shared" si="35"/>
        <v>4.886194824841092</v>
      </c>
    </row>
    <row r="176" spans="1:21" hidden="1" outlineLevel="2">
      <c r="A176" s="22"/>
      <c r="B176" s="28">
        <v>7461</v>
      </c>
      <c r="C176" s="29" t="s">
        <v>195</v>
      </c>
      <c r="D176" s="5">
        <f>N(2470672.75)</f>
        <v>2470672.75</v>
      </c>
      <c r="E176" s="30">
        <f>N(2475000)</f>
        <v>2475000</v>
      </c>
      <c r="F176" s="30">
        <f t="shared" ref="F176:F188" si="36">-D176+E176</f>
        <v>4327.25</v>
      </c>
      <c r="G176" s="30"/>
      <c r="H176" s="31">
        <f t="shared" ref="H176:H188" si="37">IF(E176=0,0,F176*100/E176)</f>
        <v>0.17483838383838385</v>
      </c>
      <c r="I176" s="32">
        <f>N(2597600.51)</f>
        <v>2597600.5099999998</v>
      </c>
      <c r="J176" s="30">
        <f t="shared" ref="J176:J188" si="38">-D176+I176</f>
        <v>126927.75999999978</v>
      </c>
      <c r="K176" s="30"/>
      <c r="L176" s="30">
        <f t="shared" ref="L176:L188" si="39">IF(I176=0,0,J176*100/I176)</f>
        <v>4.8863464382365631</v>
      </c>
      <c r="M176" s="5">
        <f>N(2470672.75)</f>
        <v>2470672.75</v>
      </c>
      <c r="N176" s="30">
        <f>N(2475000)</f>
        <v>2475000</v>
      </c>
      <c r="O176" s="30">
        <f t="shared" ref="O176:O188" si="40">-M176+N176</f>
        <v>4327.25</v>
      </c>
      <c r="P176" s="30"/>
      <c r="Q176" s="30">
        <f t="shared" ref="Q176:Q188" si="41">IF(N176=0,0,O176*100/N176)</f>
        <v>0.17483838383838385</v>
      </c>
      <c r="R176" s="32">
        <f>N(2597600.51)</f>
        <v>2597600.5099999998</v>
      </c>
      <c r="S176" s="33">
        <f t="shared" ref="S176:S188" si="42">-M176+R176</f>
        <v>126927.75999999978</v>
      </c>
      <c r="T176" s="34"/>
      <c r="U176" s="34">
        <f t="shared" ref="U176:U188" si="43">IF(R176=0,0,S176*100/R176)</f>
        <v>4.8863464382365631</v>
      </c>
    </row>
    <row r="177" spans="1:21" hidden="1" outlineLevel="1">
      <c r="A177" s="22"/>
      <c r="B177" s="35" t="str">
        <f>"    "&amp;"Kontingent og bevilgninger"</f>
        <v xml:space="preserve">    Kontingent og bevilgninger</v>
      </c>
      <c r="C177" s="36"/>
      <c r="D177" s="37">
        <f>SUM(D167:D176)</f>
        <v>8198941.0900000008</v>
      </c>
      <c r="E177" s="33">
        <f>SUM(E167:E176)</f>
        <v>8903100.3300000001</v>
      </c>
      <c r="F177" s="33">
        <f t="shared" si="36"/>
        <v>704159.23999999929</v>
      </c>
      <c r="G177" s="33"/>
      <c r="H177" s="38">
        <f t="shared" si="37"/>
        <v>7.9091464085522585</v>
      </c>
      <c r="I177" s="39">
        <f>SUM(I167:I176)</f>
        <v>10048599.279999999</v>
      </c>
      <c r="J177" s="33">
        <f t="shared" si="38"/>
        <v>1849658.1899999985</v>
      </c>
      <c r="K177" s="33"/>
      <c r="L177" s="33">
        <f t="shared" si="39"/>
        <v>18.407124599758134</v>
      </c>
      <c r="M177" s="37">
        <f>SUM(M167:M176)</f>
        <v>8198941.0900000008</v>
      </c>
      <c r="N177" s="33">
        <f>SUM(N167:N176)</f>
        <v>8903100.3300000001</v>
      </c>
      <c r="O177" s="33">
        <f t="shared" si="40"/>
        <v>704159.23999999929</v>
      </c>
      <c r="P177" s="33"/>
      <c r="Q177" s="33">
        <f t="shared" si="41"/>
        <v>7.9091464085522585</v>
      </c>
      <c r="R177" s="39">
        <f>SUM(R167:R176)</f>
        <v>10048599.279999999</v>
      </c>
      <c r="S177" s="33">
        <f t="shared" si="42"/>
        <v>1849658.1899999985</v>
      </c>
      <c r="T177" s="34"/>
      <c r="U177" s="34">
        <f t="shared" si="43"/>
        <v>18.407124599758134</v>
      </c>
    </row>
    <row r="178" spans="1:21" hidden="1" outlineLevel="2">
      <c r="A178" s="22"/>
      <c r="B178" s="28">
        <v>7500</v>
      </c>
      <c r="C178" s="29" t="s">
        <v>196</v>
      </c>
      <c r="D178" s="5">
        <f>N(55417)</f>
        <v>55417</v>
      </c>
      <c r="E178" s="30">
        <f>N(15499.67)</f>
        <v>15499.67</v>
      </c>
      <c r="F178" s="30">
        <f t="shared" si="36"/>
        <v>-39917.33</v>
      </c>
      <c r="G178" s="30"/>
      <c r="H178" s="31">
        <f t="shared" si="37"/>
        <v>-257.53664432855669</v>
      </c>
      <c r="I178" s="32">
        <f>N(15149.93)</f>
        <v>15149.93</v>
      </c>
      <c r="J178" s="30">
        <f t="shared" si="38"/>
        <v>-40267.07</v>
      </c>
      <c r="K178" s="30"/>
      <c r="L178" s="30">
        <f t="shared" si="39"/>
        <v>-265.79046899886663</v>
      </c>
      <c r="M178" s="5">
        <f>N(55417)</f>
        <v>55417</v>
      </c>
      <c r="N178" s="30">
        <f>N(15499.67)</f>
        <v>15499.67</v>
      </c>
      <c r="O178" s="30">
        <f t="shared" si="40"/>
        <v>-39917.33</v>
      </c>
      <c r="P178" s="30"/>
      <c r="Q178" s="30">
        <f t="shared" si="41"/>
        <v>-257.53664432855669</v>
      </c>
      <c r="R178" s="32">
        <f>N(15149.93)</f>
        <v>15149.93</v>
      </c>
      <c r="S178" s="33">
        <f t="shared" si="42"/>
        <v>-40267.07</v>
      </c>
      <c r="T178" s="34"/>
      <c r="U178" s="34">
        <f t="shared" si="43"/>
        <v>-265.79046899886663</v>
      </c>
    </row>
    <row r="179" spans="1:21" hidden="1" outlineLevel="2">
      <c r="A179" s="22"/>
      <c r="B179" s="28">
        <v>7510</v>
      </c>
      <c r="C179" s="29" t="s">
        <v>197</v>
      </c>
      <c r="D179" s="5">
        <f>N(29455)</f>
        <v>29455</v>
      </c>
      <c r="E179" s="30">
        <f>N(0)</f>
        <v>0</v>
      </c>
      <c r="F179" s="30">
        <f t="shared" si="36"/>
        <v>-29455</v>
      </c>
      <c r="G179" s="30"/>
      <c r="H179" s="31">
        <f t="shared" si="37"/>
        <v>0</v>
      </c>
      <c r="I179" s="32">
        <f>N(24071.04)</f>
        <v>24071.040000000001</v>
      </c>
      <c r="J179" s="30">
        <f t="shared" si="38"/>
        <v>-5383.9599999999991</v>
      </c>
      <c r="K179" s="30"/>
      <c r="L179" s="30">
        <f t="shared" si="39"/>
        <v>-22.366960463694127</v>
      </c>
      <c r="M179" s="5">
        <f>N(29455)</f>
        <v>29455</v>
      </c>
      <c r="N179" s="30">
        <f>N(0)</f>
        <v>0</v>
      </c>
      <c r="O179" s="30">
        <f t="shared" si="40"/>
        <v>-29455</v>
      </c>
      <c r="P179" s="30"/>
      <c r="Q179" s="30">
        <f t="shared" si="41"/>
        <v>0</v>
      </c>
      <c r="R179" s="32">
        <f>N(24071.04)</f>
        <v>24071.040000000001</v>
      </c>
      <c r="S179" s="33">
        <f t="shared" si="42"/>
        <v>-5383.9599999999991</v>
      </c>
      <c r="T179" s="34"/>
      <c r="U179" s="34">
        <f t="shared" si="43"/>
        <v>-22.366960463694127</v>
      </c>
    </row>
    <row r="180" spans="1:21" hidden="1" outlineLevel="1">
      <c r="A180" s="22"/>
      <c r="B180" s="35" t="str">
        <f>"    "&amp;"Forsikringspremie, garanti- og servicekostnad"</f>
        <v xml:space="preserve">    Forsikringspremie, garanti- og servicekostnad</v>
      </c>
      <c r="C180" s="36"/>
      <c r="D180" s="37">
        <f>SUM(D178:D179)</f>
        <v>84872</v>
      </c>
      <c r="E180" s="33">
        <f>SUM(E178:E179)</f>
        <v>15499.67</v>
      </c>
      <c r="F180" s="33">
        <f t="shared" si="36"/>
        <v>-69372.33</v>
      </c>
      <c r="G180" s="33"/>
      <c r="H180" s="38">
        <f t="shared" si="37"/>
        <v>-447.57294832728695</v>
      </c>
      <c r="I180" s="39">
        <f>SUM(I178:I179)</f>
        <v>39220.97</v>
      </c>
      <c r="J180" s="33">
        <f t="shared" si="38"/>
        <v>-45651.03</v>
      </c>
      <c r="K180" s="33"/>
      <c r="L180" s="33">
        <f t="shared" si="39"/>
        <v>-116.39444409457491</v>
      </c>
      <c r="M180" s="37">
        <f>SUM(M178:M179)</f>
        <v>84872</v>
      </c>
      <c r="N180" s="33">
        <f>SUM(N178:N179)</f>
        <v>15499.67</v>
      </c>
      <c r="O180" s="33">
        <f t="shared" si="40"/>
        <v>-69372.33</v>
      </c>
      <c r="P180" s="33"/>
      <c r="Q180" s="33">
        <f t="shared" si="41"/>
        <v>-447.57294832728695</v>
      </c>
      <c r="R180" s="39">
        <f>SUM(R178:R179)</f>
        <v>39220.97</v>
      </c>
      <c r="S180" s="33">
        <f t="shared" si="42"/>
        <v>-45651.03</v>
      </c>
      <c r="T180" s="34"/>
      <c r="U180" s="34">
        <f t="shared" si="43"/>
        <v>-116.39444409457491</v>
      </c>
    </row>
    <row r="181" spans="1:21" hidden="1" outlineLevel="2">
      <c r="A181" s="22"/>
      <c r="B181" s="28">
        <v>7700</v>
      </c>
      <c r="C181" s="29" t="s">
        <v>199</v>
      </c>
      <c r="D181" s="5">
        <f>N(446844.01)</f>
        <v>446844.01</v>
      </c>
      <c r="E181" s="30">
        <f>N(734999.63)</f>
        <v>734999.63</v>
      </c>
      <c r="F181" s="30">
        <f t="shared" si="36"/>
        <v>288155.62</v>
      </c>
      <c r="G181" s="30"/>
      <c r="H181" s="31">
        <f t="shared" si="37"/>
        <v>39.20486599428628</v>
      </c>
      <c r="I181" s="32">
        <f>N(500592.22)</f>
        <v>500592.22</v>
      </c>
      <c r="J181" s="30">
        <f t="shared" si="38"/>
        <v>53748.209999999963</v>
      </c>
      <c r="K181" s="30"/>
      <c r="L181" s="30">
        <f t="shared" si="39"/>
        <v>10.736924756841001</v>
      </c>
      <c r="M181" s="5">
        <f>N(446844.01)</f>
        <v>446844.01</v>
      </c>
      <c r="N181" s="30">
        <f>N(734999.63)</f>
        <v>734999.63</v>
      </c>
      <c r="O181" s="30">
        <f t="shared" si="40"/>
        <v>288155.62</v>
      </c>
      <c r="P181" s="30"/>
      <c r="Q181" s="30">
        <f t="shared" si="41"/>
        <v>39.20486599428628</v>
      </c>
      <c r="R181" s="32">
        <f>N(500592.22)</f>
        <v>500592.22</v>
      </c>
      <c r="S181" s="33">
        <f t="shared" si="42"/>
        <v>53748.209999999963</v>
      </c>
      <c r="T181" s="34"/>
      <c r="U181" s="34">
        <f t="shared" si="43"/>
        <v>10.736924756841001</v>
      </c>
    </row>
    <row r="182" spans="1:21" hidden="1" outlineLevel="2">
      <c r="A182" s="22"/>
      <c r="B182" s="28">
        <v>7720</v>
      </c>
      <c r="C182" s="29" t="s">
        <v>201</v>
      </c>
      <c r="D182" s="5">
        <f>N(11900)</f>
        <v>11900</v>
      </c>
      <c r="E182" s="30">
        <f>N(135000)</f>
        <v>135000</v>
      </c>
      <c r="F182" s="30">
        <f t="shared" si="36"/>
        <v>123100</v>
      </c>
      <c r="G182" s="30"/>
      <c r="H182" s="31">
        <f t="shared" si="37"/>
        <v>91.18518518518519</v>
      </c>
      <c r="I182" s="32">
        <f>N(725816.64)</f>
        <v>725816.64</v>
      </c>
      <c r="J182" s="30">
        <f t="shared" si="38"/>
        <v>713916.64</v>
      </c>
      <c r="K182" s="30"/>
      <c r="L182" s="30">
        <f t="shared" si="39"/>
        <v>98.360467459109231</v>
      </c>
      <c r="M182" s="5">
        <f>N(11900)</f>
        <v>11900</v>
      </c>
      <c r="N182" s="30">
        <f>N(135000)</f>
        <v>135000</v>
      </c>
      <c r="O182" s="30">
        <f t="shared" si="40"/>
        <v>123100</v>
      </c>
      <c r="P182" s="30"/>
      <c r="Q182" s="30">
        <f t="shared" si="41"/>
        <v>91.18518518518519</v>
      </c>
      <c r="R182" s="32">
        <f>N(725816.64)</f>
        <v>725816.64</v>
      </c>
      <c r="S182" s="33">
        <f t="shared" si="42"/>
        <v>713916.64</v>
      </c>
      <c r="T182" s="34"/>
      <c r="U182" s="34">
        <f t="shared" si="43"/>
        <v>98.360467459109231</v>
      </c>
    </row>
    <row r="183" spans="1:21" hidden="1" outlineLevel="2">
      <c r="A183" s="22"/>
      <c r="B183" s="28">
        <v>7770</v>
      </c>
      <c r="C183" s="29" t="s">
        <v>202</v>
      </c>
      <c r="D183" s="5">
        <f>N(41494.8)</f>
        <v>41494.800000000003</v>
      </c>
      <c r="E183" s="30">
        <f>N(19999.67)</f>
        <v>19999.669999999998</v>
      </c>
      <c r="F183" s="30">
        <f t="shared" si="36"/>
        <v>-21495.130000000005</v>
      </c>
      <c r="G183" s="30"/>
      <c r="H183" s="31">
        <f t="shared" si="37"/>
        <v>-107.47742337748576</v>
      </c>
      <c r="I183" s="32">
        <f>N(40772.97)</f>
        <v>40772.97</v>
      </c>
      <c r="J183" s="30">
        <f t="shared" si="38"/>
        <v>-721.83000000000175</v>
      </c>
      <c r="K183" s="30"/>
      <c r="L183" s="30">
        <f t="shared" si="39"/>
        <v>-1.7703640426488474</v>
      </c>
      <c r="M183" s="5">
        <f>N(41494.8)</f>
        <v>41494.800000000003</v>
      </c>
      <c r="N183" s="30">
        <f>N(19999.67)</f>
        <v>19999.669999999998</v>
      </c>
      <c r="O183" s="30">
        <f t="shared" si="40"/>
        <v>-21495.130000000005</v>
      </c>
      <c r="P183" s="30"/>
      <c r="Q183" s="30">
        <f t="shared" si="41"/>
        <v>-107.47742337748576</v>
      </c>
      <c r="R183" s="32">
        <f>N(40772.97)</f>
        <v>40772.97</v>
      </c>
      <c r="S183" s="33">
        <f t="shared" si="42"/>
        <v>-721.83000000000175</v>
      </c>
      <c r="T183" s="34"/>
      <c r="U183" s="34">
        <f t="shared" si="43"/>
        <v>-1.7703640426488474</v>
      </c>
    </row>
    <row r="184" spans="1:21" hidden="1" outlineLevel="2">
      <c r="A184" s="22"/>
      <c r="B184" s="28">
        <v>7790</v>
      </c>
      <c r="C184" s="29" t="s">
        <v>204</v>
      </c>
      <c r="D184" s="5">
        <f>N(3412.12)</f>
        <v>3412.12</v>
      </c>
      <c r="E184" s="30">
        <f>N(544188.05)</f>
        <v>544188.05000000005</v>
      </c>
      <c r="F184" s="30">
        <f t="shared" si="36"/>
        <v>540775.93000000005</v>
      </c>
      <c r="G184" s="30"/>
      <c r="H184" s="31">
        <f t="shared" si="37"/>
        <v>99.372988804145919</v>
      </c>
      <c r="I184" s="32">
        <f>N(45252.81)</f>
        <v>45252.81</v>
      </c>
      <c r="J184" s="30">
        <f t="shared" si="38"/>
        <v>41840.689999999995</v>
      </c>
      <c r="K184" s="30"/>
      <c r="L184" s="30">
        <f t="shared" si="39"/>
        <v>92.459871552727876</v>
      </c>
      <c r="M184" s="5">
        <f>N(3412.12)</f>
        <v>3412.12</v>
      </c>
      <c r="N184" s="30">
        <f>N(544188.05)</f>
        <v>544188.05000000005</v>
      </c>
      <c r="O184" s="30">
        <f t="shared" si="40"/>
        <v>540775.93000000005</v>
      </c>
      <c r="P184" s="30"/>
      <c r="Q184" s="30">
        <f t="shared" si="41"/>
        <v>99.372988804145919</v>
      </c>
      <c r="R184" s="32">
        <f>N(45252.81)</f>
        <v>45252.81</v>
      </c>
      <c r="S184" s="33">
        <f t="shared" si="42"/>
        <v>41840.689999999995</v>
      </c>
      <c r="T184" s="34"/>
      <c r="U184" s="34">
        <f t="shared" si="43"/>
        <v>92.459871552727876</v>
      </c>
    </row>
    <row r="185" spans="1:21" hidden="1" outlineLevel="2">
      <c r="A185" s="22"/>
      <c r="B185" s="28">
        <v>7792</v>
      </c>
      <c r="C185" s="29" t="s">
        <v>206</v>
      </c>
      <c r="D185" s="5">
        <f>N(20559.48)</f>
        <v>20559.48</v>
      </c>
      <c r="E185" s="30">
        <f>N(18182.75)</f>
        <v>18182.75</v>
      </c>
      <c r="F185" s="30">
        <f t="shared" si="36"/>
        <v>-2376.7299999999996</v>
      </c>
      <c r="G185" s="30"/>
      <c r="H185" s="31">
        <f t="shared" si="37"/>
        <v>-13.071345093563952</v>
      </c>
      <c r="I185" s="32">
        <f>N(15771.47)</f>
        <v>15771.47</v>
      </c>
      <c r="J185" s="30">
        <f t="shared" si="38"/>
        <v>-4788.01</v>
      </c>
      <c r="K185" s="30"/>
      <c r="L185" s="30">
        <f t="shared" si="39"/>
        <v>-30.358679311440216</v>
      </c>
      <c r="M185" s="5">
        <f>N(20559.48)</f>
        <v>20559.48</v>
      </c>
      <c r="N185" s="30">
        <f>N(18182.75)</f>
        <v>18182.75</v>
      </c>
      <c r="O185" s="30">
        <f t="shared" si="40"/>
        <v>-2376.7299999999996</v>
      </c>
      <c r="P185" s="30"/>
      <c r="Q185" s="30">
        <f t="shared" si="41"/>
        <v>-13.071345093563952</v>
      </c>
      <c r="R185" s="32">
        <f>N(15771.47)</f>
        <v>15771.47</v>
      </c>
      <c r="S185" s="33">
        <f t="shared" si="42"/>
        <v>-4788.01</v>
      </c>
      <c r="T185" s="34"/>
      <c r="U185" s="34">
        <f t="shared" si="43"/>
        <v>-30.358679311440216</v>
      </c>
    </row>
    <row r="186" spans="1:21" hidden="1" outlineLevel="1">
      <c r="A186" s="22"/>
      <c r="B186" s="35" t="str">
        <f>"    "&amp;"Annen kostnad"</f>
        <v xml:space="preserve">    Annen kostnad</v>
      </c>
      <c r="C186" s="36"/>
      <c r="D186" s="37">
        <f>SUM(D181:D185)</f>
        <v>524210.41</v>
      </c>
      <c r="E186" s="33">
        <f>SUM(E181:E185)</f>
        <v>1452370.1</v>
      </c>
      <c r="F186" s="33">
        <f t="shared" si="36"/>
        <v>928159.69000000018</v>
      </c>
      <c r="G186" s="33"/>
      <c r="H186" s="38">
        <f t="shared" si="37"/>
        <v>63.906554534550118</v>
      </c>
      <c r="I186" s="39">
        <f>SUM(I181:I185)</f>
        <v>1328206.1099999999</v>
      </c>
      <c r="J186" s="33">
        <f t="shared" si="38"/>
        <v>803995.7</v>
      </c>
      <c r="K186" s="33"/>
      <c r="L186" s="33">
        <f t="shared" si="39"/>
        <v>60.532450042712128</v>
      </c>
      <c r="M186" s="37">
        <f>SUM(M181:M185)</f>
        <v>524210.41</v>
      </c>
      <c r="N186" s="33">
        <f>SUM(N181:N185)</f>
        <v>1452370.1</v>
      </c>
      <c r="O186" s="33">
        <f t="shared" si="40"/>
        <v>928159.69000000018</v>
      </c>
      <c r="P186" s="33"/>
      <c r="Q186" s="33">
        <f t="shared" si="41"/>
        <v>63.906554534550118</v>
      </c>
      <c r="R186" s="39">
        <f>SUM(R181:R185)</f>
        <v>1328206.1099999999</v>
      </c>
      <c r="S186" s="33">
        <f t="shared" si="42"/>
        <v>803995.7</v>
      </c>
      <c r="T186" s="34"/>
      <c r="U186" s="34">
        <f t="shared" si="43"/>
        <v>60.532450042712128</v>
      </c>
    </row>
    <row r="187" spans="1:21" hidden="1" outlineLevel="2">
      <c r="A187" s="22"/>
      <c r="B187" s="28">
        <v>7830</v>
      </c>
      <c r="C187" s="29" t="s">
        <v>207</v>
      </c>
      <c r="D187" s="5">
        <f>N(0)</f>
        <v>0</v>
      </c>
      <c r="E187" s="30">
        <f>N(0)</f>
        <v>0</v>
      </c>
      <c r="F187" s="30">
        <f t="shared" si="36"/>
        <v>0</v>
      </c>
      <c r="G187" s="30"/>
      <c r="H187" s="31">
        <f t="shared" si="37"/>
        <v>0</v>
      </c>
      <c r="I187" s="32">
        <f>N(500)</f>
        <v>500</v>
      </c>
      <c r="J187" s="30">
        <f t="shared" si="38"/>
        <v>500</v>
      </c>
      <c r="K187" s="30"/>
      <c r="L187" s="30">
        <f t="shared" si="39"/>
        <v>100</v>
      </c>
      <c r="M187" s="5">
        <f>N(0)</f>
        <v>0</v>
      </c>
      <c r="N187" s="30">
        <f>N(0)</f>
        <v>0</v>
      </c>
      <c r="O187" s="30">
        <f t="shared" si="40"/>
        <v>0</v>
      </c>
      <c r="P187" s="30"/>
      <c r="Q187" s="30">
        <f t="shared" si="41"/>
        <v>0</v>
      </c>
      <c r="R187" s="32">
        <f>N(500)</f>
        <v>500</v>
      </c>
      <c r="S187" s="33">
        <f t="shared" si="42"/>
        <v>500</v>
      </c>
      <c r="T187" s="34"/>
      <c r="U187" s="34">
        <f t="shared" si="43"/>
        <v>100</v>
      </c>
    </row>
    <row r="188" spans="1:21" hidden="1" outlineLevel="2">
      <c r="A188" s="22"/>
      <c r="B188" s="28">
        <v>7831</v>
      </c>
      <c r="C188" s="29" t="s">
        <v>208</v>
      </c>
      <c r="D188" s="5">
        <f>N(195461.73)</f>
        <v>195461.73</v>
      </c>
      <c r="E188" s="30">
        <f>N(0)</f>
        <v>0</v>
      </c>
      <c r="F188" s="30">
        <f t="shared" si="36"/>
        <v>-195461.73</v>
      </c>
      <c r="G188" s="30"/>
      <c r="H188" s="31">
        <f t="shared" si="37"/>
        <v>0</v>
      </c>
      <c r="I188" s="32">
        <f>N(0)</f>
        <v>0</v>
      </c>
      <c r="J188" s="30">
        <f t="shared" si="38"/>
        <v>-195461.73</v>
      </c>
      <c r="K188" s="30"/>
      <c r="L188" s="30">
        <f t="shared" si="39"/>
        <v>0</v>
      </c>
      <c r="M188" s="5">
        <f>N(195461.73)</f>
        <v>195461.73</v>
      </c>
      <c r="N188" s="30">
        <f>N(0)</f>
        <v>0</v>
      </c>
      <c r="O188" s="30">
        <f t="shared" si="40"/>
        <v>-195461.73</v>
      </c>
      <c r="P188" s="30"/>
      <c r="Q188" s="30">
        <f t="shared" si="41"/>
        <v>0</v>
      </c>
      <c r="R188" s="32">
        <f>N(0)</f>
        <v>0</v>
      </c>
      <c r="S188" s="33">
        <f t="shared" si="42"/>
        <v>-195461.73</v>
      </c>
      <c r="T188" s="34"/>
      <c r="U188" s="34">
        <f t="shared" si="43"/>
        <v>0</v>
      </c>
    </row>
    <row r="189" spans="1:21" hidden="1" outlineLevel="1">
      <c r="A189" s="22"/>
      <c r="B189" s="35" t="str">
        <f>"    "&amp;"Tap o.l."</f>
        <v xml:space="preserve">    Tap o.l.</v>
      </c>
      <c r="C189" s="36"/>
      <c r="D189" s="37">
        <f>SUM(D187:D188)</f>
        <v>195461.73</v>
      </c>
      <c r="E189" s="33">
        <f>SUM(E187:E188)</f>
        <v>0</v>
      </c>
      <c r="F189" s="33">
        <f>-D189+E189</f>
        <v>-195461.73</v>
      </c>
      <c r="G189" s="33"/>
      <c r="H189" s="38">
        <f>IF(E189=0,0,F189*100/E189)</f>
        <v>0</v>
      </c>
      <c r="I189" s="39">
        <f>SUM(I187:I188)</f>
        <v>500</v>
      </c>
      <c r="J189" s="33">
        <f>-D189+I189</f>
        <v>-194961.73</v>
      </c>
      <c r="K189" s="33"/>
      <c r="L189" s="33">
        <f>IF(I189=0,0,J189*100/I189)</f>
        <v>-38992.345999999998</v>
      </c>
      <c r="M189" s="37">
        <f>SUM(M187:M188)</f>
        <v>195461.73</v>
      </c>
      <c r="N189" s="33">
        <f>SUM(N187:N188)</f>
        <v>0</v>
      </c>
      <c r="O189" s="33">
        <f>-M189+N189</f>
        <v>-195461.73</v>
      </c>
      <c r="P189" s="33"/>
      <c r="Q189" s="33">
        <f>IF(N189=0,0,O189*100/N189)</f>
        <v>0</v>
      </c>
      <c r="R189" s="39">
        <f>SUM(R187:R188)</f>
        <v>500</v>
      </c>
      <c r="S189" s="33">
        <f>-M189+R189</f>
        <v>-194961.73</v>
      </c>
      <c r="T189" s="34"/>
      <c r="U189" s="34">
        <f>IF(R189=0,0,S189*100/R189)</f>
        <v>-38992.345999999998</v>
      </c>
    </row>
    <row r="190" spans="1:21" collapsed="1">
      <c r="A190" s="22"/>
      <c r="B190" s="41" t="s">
        <v>18</v>
      </c>
      <c r="C190" s="42"/>
      <c r="D190" s="43">
        <f ca="1">SUM(OSRRefD18_2x_0)</f>
        <v>22962324.449999999</v>
      </c>
      <c r="E190" s="44">
        <f ca="1">SUM(OSRRefE18_2x_0)</f>
        <v>24873304.970000003</v>
      </c>
      <c r="F190" s="44">
        <f ca="1">-D190+E190</f>
        <v>1910980.5200000033</v>
      </c>
      <c r="G190" s="44"/>
      <c r="H190" s="45">
        <f ca="1">IF(E190=0,0,F190*100/E190)</f>
        <v>7.6828572733091169</v>
      </c>
      <c r="I190" s="46">
        <f ca="1">SUM(OSRRefI18_2x_0)</f>
        <v>27935335.909999996</v>
      </c>
      <c r="J190" s="44">
        <f ca="1">-D190+I190</f>
        <v>4973011.4599999972</v>
      </c>
      <c r="K190" s="44"/>
      <c r="L190" s="44">
        <f ca="1">IF(I190=0,0,J190*100/I190)</f>
        <v>17.801867412733746</v>
      </c>
      <c r="M190" s="43">
        <f ca="1">SUM(OSRRefM18_2x_0)</f>
        <v>22962324.449999999</v>
      </c>
      <c r="N190" s="44">
        <f ca="1">SUM(OSRRefN18_2x_0)</f>
        <v>24873304.970000003</v>
      </c>
      <c r="O190" s="44">
        <f ca="1">-M190+N190</f>
        <v>1910980.5200000033</v>
      </c>
      <c r="P190" s="44"/>
      <c r="Q190" s="44">
        <f ca="1">IF(N190=0,0,O190*100/N190)</f>
        <v>7.6828572733091169</v>
      </c>
      <c r="R190" s="46">
        <f ca="1">SUM(OSRRefR18_2x_0)</f>
        <v>27935335.909999996</v>
      </c>
      <c r="S190" s="44">
        <f ca="1">-M190+R190</f>
        <v>4973011.4599999972</v>
      </c>
      <c r="T190" s="47"/>
      <c r="U190" s="47">
        <f ca="1">IF(R190=0,0,S190*100/R190)</f>
        <v>17.801867412733746</v>
      </c>
    </row>
    <row r="191" spans="1:21">
      <c r="A191" s="22"/>
      <c r="B191" s="48" t="s">
        <v>19</v>
      </c>
      <c r="C191" s="49"/>
      <c r="D191" s="50">
        <f ca="1">SUM(OSRRefD19x_0)</f>
        <v>39256862.660000004</v>
      </c>
      <c r="E191" s="51">
        <f ca="1">SUM(OSRRefE19x_0)</f>
        <v>43328002.495249003</v>
      </c>
      <c r="F191" s="51">
        <f ca="1">-D191+E191</f>
        <v>4071139.8352489993</v>
      </c>
      <c r="G191" s="51"/>
      <c r="H191" s="52">
        <f ca="1">IF(E191=0,0,F191*100/E191)</f>
        <v>9.3960939826279954</v>
      </c>
      <c r="I191" s="53">
        <f ca="1">SUM(OSRRefI19x_0)</f>
        <v>42949050.019999996</v>
      </c>
      <c r="J191" s="51">
        <f ca="1">-D191+I191</f>
        <v>3692187.359999992</v>
      </c>
      <c r="K191" s="51"/>
      <c r="L191" s="51">
        <f ca="1">IF(I191=0,0,J191*100/I191)</f>
        <v>8.5966682808598982</v>
      </c>
      <c r="M191" s="50">
        <f ca="1">SUM(OSRRefM19x_0)</f>
        <v>39256862.660000004</v>
      </c>
      <c r="N191" s="51">
        <f ca="1">SUM(OSRRefN19x_0)</f>
        <v>43328002.495249003</v>
      </c>
      <c r="O191" s="51">
        <f ca="1">-M191+N191</f>
        <v>4071139.8352489993</v>
      </c>
      <c r="P191" s="51"/>
      <c r="Q191" s="51">
        <f ca="1">IF(N191=0,0,O191*100/N191)</f>
        <v>9.3960939826279954</v>
      </c>
      <c r="R191" s="53">
        <f ca="1">SUM(OSRRefR19x_0)</f>
        <v>42949050.019999996</v>
      </c>
      <c r="S191" s="51">
        <f ca="1">-M191+R191</f>
        <v>3692187.359999992</v>
      </c>
      <c r="T191" s="54"/>
      <c r="U191" s="54">
        <f ca="1">IF(R191=0,0,S191*100/R191)</f>
        <v>8.5966682808598982</v>
      </c>
    </row>
    <row r="192" spans="1:21" ht="9.75" customHeight="1">
      <c r="B192" s="57"/>
      <c r="C192" s="24"/>
      <c r="D192" s="58"/>
      <c r="F192" s="59"/>
      <c r="G192" s="59"/>
      <c r="H192" s="60"/>
      <c r="I192" s="61"/>
      <c r="J192" s="59"/>
      <c r="K192" s="59"/>
      <c r="L192" s="59"/>
      <c r="M192" s="62"/>
      <c r="O192" s="59"/>
      <c r="P192" s="59"/>
      <c r="Q192" s="59"/>
      <c r="R192" s="56"/>
      <c r="S192" s="59"/>
      <c r="T192" s="63"/>
      <c r="U192" s="63"/>
    </row>
    <row r="193" spans="1:21" ht="15.6">
      <c r="B193" s="64" t="s">
        <v>209</v>
      </c>
      <c r="C193" s="65"/>
      <c r="D193" s="66">
        <f ca="1">SUM(D44)-SUM(D191)</f>
        <v>1713800.1199999899</v>
      </c>
      <c r="E193" s="67">
        <f ca="1">SUM(E44)-SUM(E191)</f>
        <v>-194999.62524900585</v>
      </c>
      <c r="F193" s="67">
        <f ca="1">D193-E193</f>
        <v>1908799.7452489957</v>
      </c>
      <c r="G193" s="67"/>
      <c r="H193" s="68">
        <f ca="1">IF(E193=0,0,F193*100/E193)</f>
        <v>-978.87354542940443</v>
      </c>
      <c r="I193" s="69">
        <f ca="1">SUM(I44)-SUM(I191)</f>
        <v>1042724.5</v>
      </c>
      <c r="J193" s="67">
        <f ca="1">D193-I193</f>
        <v>671075.61999998987</v>
      </c>
      <c r="K193" s="67"/>
      <c r="L193" s="67">
        <f ca="1">IF(I193=0,0,J193*100/I193)</f>
        <v>64.357902782565276</v>
      </c>
      <c r="M193" s="66">
        <f ca="1">SUM(M44)-SUM(M191)</f>
        <v>1713800.1199999899</v>
      </c>
      <c r="N193" s="67">
        <f ca="1">SUM(N44)-SUM(N191)</f>
        <v>-194999.62524900585</v>
      </c>
      <c r="O193" s="67">
        <f ca="1">M193-N193</f>
        <v>1908799.7452489957</v>
      </c>
      <c r="P193" s="67"/>
      <c r="Q193" s="67">
        <f ca="1">IF(N193=0,0,O193*100/N193)</f>
        <v>-978.87354542940443</v>
      </c>
      <c r="R193" s="69">
        <f ca="1">SUM(R44)-SUM(R191)</f>
        <v>1042724.5</v>
      </c>
      <c r="S193" s="67">
        <f ca="1">M193-R193</f>
        <v>671075.61999998987</v>
      </c>
      <c r="T193" s="70"/>
      <c r="U193" s="71">
        <f ca="1">IF(R193=0,0,S193*100/R193)</f>
        <v>64.357902782565276</v>
      </c>
    </row>
    <row r="194" spans="1:21">
      <c r="B194" s="27"/>
      <c r="C194" s="24"/>
      <c r="D194" s="27"/>
      <c r="F194" s="72"/>
      <c r="G194" s="72"/>
      <c r="H194" s="73"/>
      <c r="I194" s="56"/>
      <c r="J194" s="72"/>
      <c r="K194" s="72"/>
      <c r="L194" s="72"/>
      <c r="M194" s="27"/>
      <c r="O194" s="72"/>
      <c r="P194" s="72"/>
      <c r="Q194" s="72"/>
      <c r="R194" s="56"/>
      <c r="S194" s="72"/>
      <c r="T194" s="74"/>
      <c r="U194" s="74"/>
    </row>
    <row r="195" spans="1:21" hidden="1" outlineLevel="2">
      <c r="A195" s="22"/>
      <c r="B195" s="28">
        <v>8050</v>
      </c>
      <c r="C195" s="29" t="s">
        <v>210</v>
      </c>
      <c r="D195" s="5">
        <f>-N(-1204132.91)</f>
        <v>1204132.9099999999</v>
      </c>
      <c r="E195" s="30">
        <f>-N(0)</f>
        <v>0</v>
      </c>
      <c r="F195" s="30">
        <f t="shared" ref="F195:F200" si="44">D195-E195</f>
        <v>1204132.9099999999</v>
      </c>
      <c r="G195" s="30"/>
      <c r="H195" s="31">
        <f t="shared" ref="H195:H208" si="45">IF(E195=0,0,F195*100/E195)</f>
        <v>0</v>
      </c>
      <c r="I195" s="32">
        <f>-N(-1235541.88)</f>
        <v>1235541.8799999999</v>
      </c>
      <c r="J195" s="30">
        <f t="shared" ref="J195:J200" si="46">D195-I195</f>
        <v>-31408.969999999972</v>
      </c>
      <c r="K195" s="30"/>
      <c r="L195" s="30">
        <f t="shared" ref="L195:L208" si="47">IF(I195=0,0,J195*100/I195)</f>
        <v>-2.5421210327568966</v>
      </c>
      <c r="M195" s="5">
        <f>-N(-1204132.91)</f>
        <v>1204132.9099999999</v>
      </c>
      <c r="N195" s="30">
        <f>-N(0)</f>
        <v>0</v>
      </c>
      <c r="O195" s="30">
        <f t="shared" ref="O195:O200" si="48">M195-N195</f>
        <v>1204132.9099999999</v>
      </c>
      <c r="P195" s="30"/>
      <c r="Q195" s="30">
        <f t="shared" ref="Q195:Q208" si="49">IF(N195=0,0,O195*100/N195)</f>
        <v>0</v>
      </c>
      <c r="R195" s="32">
        <f>-N(-1235541.88)</f>
        <v>1235541.8799999999</v>
      </c>
      <c r="S195" s="33">
        <f t="shared" ref="S195:S200" si="50">M195-R195</f>
        <v>-31408.969999999972</v>
      </c>
      <c r="T195" s="34"/>
      <c r="U195" s="34">
        <f t="shared" ref="U195:U208" si="51">IF(R195=0,0,S195*100/R195)</f>
        <v>-2.5421210327568966</v>
      </c>
    </row>
    <row r="196" spans="1:21" hidden="1" outlineLevel="2">
      <c r="A196" s="22"/>
      <c r="B196" s="28">
        <v>8060</v>
      </c>
      <c r="C196" s="29" t="s">
        <v>211</v>
      </c>
      <c r="D196" s="5">
        <f>-N(-4727.3)</f>
        <v>4727.3</v>
      </c>
      <c r="E196" s="30">
        <f>-N(0)</f>
        <v>0</v>
      </c>
      <c r="F196" s="30">
        <f t="shared" si="44"/>
        <v>4727.3</v>
      </c>
      <c r="G196" s="30"/>
      <c r="H196" s="31">
        <f t="shared" si="45"/>
        <v>0</v>
      </c>
      <c r="I196" s="32">
        <f>-N(-16720.18)</f>
        <v>16720.18</v>
      </c>
      <c r="J196" s="30">
        <f t="shared" si="46"/>
        <v>-11992.880000000001</v>
      </c>
      <c r="K196" s="30"/>
      <c r="L196" s="30">
        <f t="shared" si="47"/>
        <v>-71.726979015776138</v>
      </c>
      <c r="M196" s="5">
        <f>-N(-4727.3)</f>
        <v>4727.3</v>
      </c>
      <c r="N196" s="30">
        <f>-N(0)</f>
        <v>0</v>
      </c>
      <c r="O196" s="30">
        <f t="shared" si="48"/>
        <v>4727.3</v>
      </c>
      <c r="P196" s="30"/>
      <c r="Q196" s="30">
        <f t="shared" si="49"/>
        <v>0</v>
      </c>
      <c r="R196" s="32">
        <f>-N(-16720.18)</f>
        <v>16720.18</v>
      </c>
      <c r="S196" s="33">
        <f t="shared" si="50"/>
        <v>-11992.880000000001</v>
      </c>
      <c r="T196" s="34"/>
      <c r="U196" s="34">
        <f t="shared" si="51"/>
        <v>-71.726979015776138</v>
      </c>
    </row>
    <row r="197" spans="1:21" hidden="1" outlineLevel="2">
      <c r="A197" s="22"/>
      <c r="B197" s="28">
        <v>8071</v>
      </c>
      <c r="C197" s="29" t="s">
        <v>212</v>
      </c>
      <c r="D197" s="5">
        <f>-N(-256666.67)</f>
        <v>256666.67</v>
      </c>
      <c r="E197" s="30">
        <f>-N(0)</f>
        <v>0</v>
      </c>
      <c r="F197" s="30">
        <f t="shared" si="44"/>
        <v>256666.67</v>
      </c>
      <c r="G197" s="30"/>
      <c r="H197" s="31">
        <f t="shared" si="45"/>
        <v>0</v>
      </c>
      <c r="I197" s="32">
        <f>-N(-115500)</f>
        <v>115500</v>
      </c>
      <c r="J197" s="30">
        <f t="shared" si="46"/>
        <v>141166.67000000001</v>
      </c>
      <c r="K197" s="30"/>
      <c r="L197" s="30">
        <f t="shared" si="47"/>
        <v>122.22222510822512</v>
      </c>
      <c r="M197" s="5">
        <f>-N(-256666.67)</f>
        <v>256666.67</v>
      </c>
      <c r="N197" s="30">
        <f>-N(0)</f>
        <v>0</v>
      </c>
      <c r="O197" s="30">
        <f t="shared" si="48"/>
        <v>256666.67</v>
      </c>
      <c r="P197" s="30"/>
      <c r="Q197" s="30">
        <f t="shared" si="49"/>
        <v>0</v>
      </c>
      <c r="R197" s="32">
        <f>-N(-115500)</f>
        <v>115500</v>
      </c>
      <c r="S197" s="33">
        <f t="shared" si="50"/>
        <v>141166.67000000001</v>
      </c>
      <c r="T197" s="34"/>
      <c r="U197" s="34">
        <f t="shared" si="51"/>
        <v>122.22222510822512</v>
      </c>
    </row>
    <row r="198" spans="1:21" hidden="1" outlineLevel="2">
      <c r="A198" s="22"/>
      <c r="B198" s="28">
        <v>8080</v>
      </c>
      <c r="C198" s="29" t="s">
        <v>214</v>
      </c>
      <c r="D198" s="5">
        <f>-N(-1304533.78)</f>
        <v>1304533.78</v>
      </c>
      <c r="E198" s="30">
        <f>-N(0)</f>
        <v>0</v>
      </c>
      <c r="F198" s="30">
        <f t="shared" si="44"/>
        <v>1304533.78</v>
      </c>
      <c r="G198" s="30"/>
      <c r="H198" s="31">
        <f t="shared" si="45"/>
        <v>0</v>
      </c>
      <c r="I198" s="32">
        <f>-N(-35041.7)</f>
        <v>35041.699999999997</v>
      </c>
      <c r="J198" s="30">
        <f t="shared" si="46"/>
        <v>1269492.08</v>
      </c>
      <c r="K198" s="30"/>
      <c r="L198" s="30">
        <f t="shared" si="47"/>
        <v>3622.8039164766551</v>
      </c>
      <c r="M198" s="5">
        <f>-N(-1304533.78)</f>
        <v>1304533.78</v>
      </c>
      <c r="N198" s="30">
        <f>-N(0)</f>
        <v>0</v>
      </c>
      <c r="O198" s="30">
        <f t="shared" si="48"/>
        <v>1304533.78</v>
      </c>
      <c r="P198" s="30"/>
      <c r="Q198" s="30">
        <f t="shared" si="49"/>
        <v>0</v>
      </c>
      <c r="R198" s="32">
        <f>-N(-35041.7)</f>
        <v>35041.699999999997</v>
      </c>
      <c r="S198" s="33">
        <f t="shared" si="50"/>
        <v>1269492.08</v>
      </c>
      <c r="T198" s="34"/>
      <c r="U198" s="34">
        <f t="shared" si="51"/>
        <v>3622.8039164766551</v>
      </c>
    </row>
    <row r="199" spans="1:21" hidden="1" outlineLevel="1">
      <c r="A199" s="22"/>
      <c r="B199" s="35" t="str">
        <f>"    "&amp;"Finansinntekt"</f>
        <v xml:space="preserve">    Finansinntekt</v>
      </c>
      <c r="C199" s="36"/>
      <c r="D199" s="37">
        <f>SUM(D195:D198)</f>
        <v>2770060.66</v>
      </c>
      <c r="E199" s="33">
        <f>SUM(E195:E198)</f>
        <v>0</v>
      </c>
      <c r="F199" s="33">
        <f t="shared" si="44"/>
        <v>2770060.66</v>
      </c>
      <c r="G199" s="33"/>
      <c r="H199" s="38">
        <f t="shared" si="45"/>
        <v>0</v>
      </c>
      <c r="I199" s="39">
        <f>SUM(I195:I198)</f>
        <v>1402803.7599999998</v>
      </c>
      <c r="J199" s="33">
        <f t="shared" si="46"/>
        <v>1367256.9000000004</v>
      </c>
      <c r="K199" s="33"/>
      <c r="L199" s="33">
        <f t="shared" si="47"/>
        <v>97.466013350292172</v>
      </c>
      <c r="M199" s="37">
        <f>SUM(M195:M198)</f>
        <v>2770060.66</v>
      </c>
      <c r="N199" s="33">
        <f>SUM(N195:N198)</f>
        <v>0</v>
      </c>
      <c r="O199" s="33">
        <f t="shared" si="48"/>
        <v>2770060.66</v>
      </c>
      <c r="P199" s="33"/>
      <c r="Q199" s="33">
        <f t="shared" si="49"/>
        <v>0</v>
      </c>
      <c r="R199" s="39">
        <f>SUM(R195:R198)</f>
        <v>1402803.7599999998</v>
      </c>
      <c r="S199" s="33">
        <f t="shared" si="50"/>
        <v>1367256.9000000004</v>
      </c>
      <c r="T199" s="34"/>
      <c r="U199" s="34">
        <f t="shared" si="51"/>
        <v>97.466013350292172</v>
      </c>
    </row>
    <row r="200" spans="1:21" collapsed="1">
      <c r="A200" s="22"/>
      <c r="B200" s="41" t="s">
        <v>216</v>
      </c>
      <c r="C200" s="42"/>
      <c r="D200" s="43">
        <f>SUM(D199)</f>
        <v>2770060.66</v>
      </c>
      <c r="E200" s="44">
        <f>SUM(E199)</f>
        <v>0</v>
      </c>
      <c r="F200" s="44">
        <f t="shared" si="44"/>
        <v>2770060.66</v>
      </c>
      <c r="G200" s="44"/>
      <c r="H200" s="45">
        <f t="shared" si="45"/>
        <v>0</v>
      </c>
      <c r="I200" s="46">
        <f>SUM(I199)</f>
        <v>1402803.7599999998</v>
      </c>
      <c r="J200" s="44">
        <f t="shared" si="46"/>
        <v>1367256.9000000004</v>
      </c>
      <c r="K200" s="44"/>
      <c r="L200" s="44">
        <f t="shared" si="47"/>
        <v>97.466013350292172</v>
      </c>
      <c r="M200" s="43">
        <f>SUM(M199)</f>
        <v>2770060.66</v>
      </c>
      <c r="N200" s="44">
        <f>SUM(N199)</f>
        <v>0</v>
      </c>
      <c r="O200" s="44">
        <f t="shared" si="48"/>
        <v>2770060.66</v>
      </c>
      <c r="P200" s="44"/>
      <c r="Q200" s="44">
        <f t="shared" si="49"/>
        <v>0</v>
      </c>
      <c r="R200" s="46">
        <f>SUM(R199)</f>
        <v>1402803.7599999998</v>
      </c>
      <c r="S200" s="44">
        <f t="shared" si="50"/>
        <v>1367256.9000000004</v>
      </c>
      <c r="T200" s="47"/>
      <c r="U200" s="47">
        <f t="shared" si="51"/>
        <v>97.466013350292172</v>
      </c>
    </row>
    <row r="201" spans="1:21" hidden="1" outlineLevel="2">
      <c r="A201" s="22"/>
      <c r="B201" s="28">
        <v>8130</v>
      </c>
      <c r="C201" s="29" t="s">
        <v>220</v>
      </c>
      <c r="D201" s="5">
        <f t="shared" ref="D201:E205" si="52">N(0)</f>
        <v>0</v>
      </c>
      <c r="E201" s="30">
        <f t="shared" si="52"/>
        <v>0</v>
      </c>
      <c r="F201" s="30">
        <f t="shared" ref="F201:F207" si="53">-D201+E201</f>
        <v>0</v>
      </c>
      <c r="G201" s="30"/>
      <c r="H201" s="31">
        <f t="shared" si="45"/>
        <v>0</v>
      </c>
      <c r="I201" s="32">
        <f>N(0)</f>
        <v>0</v>
      </c>
      <c r="J201" s="30">
        <f t="shared" ref="J201:J207" si="54">-D201+I201</f>
        <v>0</v>
      </c>
      <c r="K201" s="30"/>
      <c r="L201" s="30">
        <f t="shared" si="47"/>
        <v>0</v>
      </c>
      <c r="M201" s="5">
        <f t="shared" ref="M201:N205" si="55">N(0)</f>
        <v>0</v>
      </c>
      <c r="N201" s="30">
        <f t="shared" si="55"/>
        <v>0</v>
      </c>
      <c r="O201" s="30">
        <f t="shared" ref="O201:O207" si="56">-M201+N201</f>
        <v>0</v>
      </c>
      <c r="P201" s="30"/>
      <c r="Q201" s="30">
        <f t="shared" si="49"/>
        <v>0</v>
      </c>
      <c r="R201" s="32">
        <f>N(0)</f>
        <v>0</v>
      </c>
      <c r="S201" s="30">
        <f t="shared" ref="S201:S207" si="57">-M201+R201</f>
        <v>0</v>
      </c>
      <c r="T201" s="75"/>
      <c r="U201" s="75">
        <f t="shared" si="51"/>
        <v>0</v>
      </c>
    </row>
    <row r="202" spans="1:21" hidden="1" outlineLevel="2">
      <c r="A202" s="22"/>
      <c r="B202" s="28">
        <v>8150</v>
      </c>
      <c r="C202" s="29" t="s">
        <v>221</v>
      </c>
      <c r="D202" s="5">
        <f>N(4205.2)</f>
        <v>4205.2</v>
      </c>
      <c r="E202" s="30">
        <f t="shared" si="52"/>
        <v>0</v>
      </c>
      <c r="F202" s="30">
        <f t="shared" si="53"/>
        <v>-4205.2</v>
      </c>
      <c r="G202" s="30"/>
      <c r="H202" s="31">
        <f t="shared" si="45"/>
        <v>0</v>
      </c>
      <c r="I202" s="32">
        <f>N(1852.86)</f>
        <v>1852.86</v>
      </c>
      <c r="J202" s="30">
        <f t="shared" si="54"/>
        <v>-2352.34</v>
      </c>
      <c r="K202" s="30"/>
      <c r="L202" s="30">
        <f t="shared" si="47"/>
        <v>-126.95724447610722</v>
      </c>
      <c r="M202" s="5">
        <f>N(4205.2)</f>
        <v>4205.2</v>
      </c>
      <c r="N202" s="30">
        <f t="shared" si="55"/>
        <v>0</v>
      </c>
      <c r="O202" s="30">
        <f t="shared" si="56"/>
        <v>-4205.2</v>
      </c>
      <c r="P202" s="30"/>
      <c r="Q202" s="30">
        <f t="shared" si="49"/>
        <v>0</v>
      </c>
      <c r="R202" s="32">
        <f>N(1852.86)</f>
        <v>1852.86</v>
      </c>
      <c r="S202" s="30">
        <f t="shared" si="57"/>
        <v>-2352.34</v>
      </c>
      <c r="T202" s="75"/>
      <c r="U202" s="75">
        <f t="shared" si="51"/>
        <v>-126.95724447610722</v>
      </c>
    </row>
    <row r="203" spans="1:21" hidden="1" outlineLevel="2">
      <c r="A203" s="22"/>
      <c r="B203" s="28">
        <v>8155</v>
      </c>
      <c r="C203" s="29" t="s">
        <v>222</v>
      </c>
      <c r="D203" s="5">
        <f>N(291.04)</f>
        <v>291.04000000000002</v>
      </c>
      <c r="E203" s="30">
        <f t="shared" si="52"/>
        <v>0</v>
      </c>
      <c r="F203" s="30">
        <f t="shared" si="53"/>
        <v>-291.04000000000002</v>
      </c>
      <c r="G203" s="30"/>
      <c r="H203" s="31">
        <f t="shared" si="45"/>
        <v>0</v>
      </c>
      <c r="I203" s="32">
        <f>N(0)</f>
        <v>0</v>
      </c>
      <c r="J203" s="30">
        <f t="shared" si="54"/>
        <v>-291.04000000000002</v>
      </c>
      <c r="K203" s="30"/>
      <c r="L203" s="30">
        <f t="shared" si="47"/>
        <v>0</v>
      </c>
      <c r="M203" s="5">
        <f>N(291.04)</f>
        <v>291.04000000000002</v>
      </c>
      <c r="N203" s="30">
        <f t="shared" si="55"/>
        <v>0</v>
      </c>
      <c r="O203" s="30">
        <f t="shared" si="56"/>
        <v>-291.04000000000002</v>
      </c>
      <c r="P203" s="30"/>
      <c r="Q203" s="30">
        <f t="shared" si="49"/>
        <v>0</v>
      </c>
      <c r="R203" s="32">
        <f>N(0)</f>
        <v>0</v>
      </c>
      <c r="S203" s="30">
        <f t="shared" si="57"/>
        <v>-291.04000000000002</v>
      </c>
      <c r="T203" s="75"/>
      <c r="U203" s="75">
        <f t="shared" si="51"/>
        <v>0</v>
      </c>
    </row>
    <row r="204" spans="1:21" hidden="1" outlineLevel="2">
      <c r="A204" s="22"/>
      <c r="B204" s="28">
        <v>8160</v>
      </c>
      <c r="C204" s="29" t="s">
        <v>223</v>
      </c>
      <c r="D204" s="5">
        <f>N(18037.04)</f>
        <v>18037.04</v>
      </c>
      <c r="E204" s="30">
        <f t="shared" si="52"/>
        <v>0</v>
      </c>
      <c r="F204" s="30">
        <f t="shared" si="53"/>
        <v>-18037.04</v>
      </c>
      <c r="G204" s="30"/>
      <c r="H204" s="31">
        <f t="shared" si="45"/>
        <v>0</v>
      </c>
      <c r="I204" s="32">
        <f>N(6945.3)</f>
        <v>6945.3</v>
      </c>
      <c r="J204" s="30">
        <f t="shared" si="54"/>
        <v>-11091.740000000002</v>
      </c>
      <c r="K204" s="30"/>
      <c r="L204" s="30">
        <f t="shared" si="47"/>
        <v>-159.70138078988671</v>
      </c>
      <c r="M204" s="5">
        <f>N(18037.04)</f>
        <v>18037.04</v>
      </c>
      <c r="N204" s="30">
        <f t="shared" si="55"/>
        <v>0</v>
      </c>
      <c r="O204" s="30">
        <f t="shared" si="56"/>
        <v>-18037.04</v>
      </c>
      <c r="P204" s="30"/>
      <c r="Q204" s="30">
        <f t="shared" si="49"/>
        <v>0</v>
      </c>
      <c r="R204" s="32">
        <f>N(6945.3)</f>
        <v>6945.3</v>
      </c>
      <c r="S204" s="30">
        <f t="shared" si="57"/>
        <v>-11091.740000000002</v>
      </c>
      <c r="T204" s="75"/>
      <c r="U204" s="75">
        <f t="shared" si="51"/>
        <v>-159.70138078988671</v>
      </c>
    </row>
    <row r="205" spans="1:21" hidden="1" outlineLevel="2">
      <c r="A205" s="22"/>
      <c r="B205" s="28">
        <v>8170</v>
      </c>
      <c r="C205" s="29" t="s">
        <v>224</v>
      </c>
      <c r="D205" s="5">
        <f>N(0)</f>
        <v>0</v>
      </c>
      <c r="E205" s="30">
        <f t="shared" si="52"/>
        <v>0</v>
      </c>
      <c r="F205" s="30">
        <f t="shared" si="53"/>
        <v>0</v>
      </c>
      <c r="G205" s="30"/>
      <c r="H205" s="31">
        <f t="shared" si="45"/>
        <v>0</v>
      </c>
      <c r="I205" s="32">
        <f>N(0)</f>
        <v>0</v>
      </c>
      <c r="J205" s="30">
        <f t="shared" si="54"/>
        <v>0</v>
      </c>
      <c r="K205" s="30"/>
      <c r="L205" s="30">
        <f t="shared" si="47"/>
        <v>0</v>
      </c>
      <c r="M205" s="5">
        <f>N(0)</f>
        <v>0</v>
      </c>
      <c r="N205" s="30">
        <f t="shared" si="55"/>
        <v>0</v>
      </c>
      <c r="O205" s="30">
        <f t="shared" si="56"/>
        <v>0</v>
      </c>
      <c r="P205" s="30"/>
      <c r="Q205" s="30">
        <f t="shared" si="49"/>
        <v>0</v>
      </c>
      <c r="R205" s="32">
        <f>N(0)</f>
        <v>0</v>
      </c>
      <c r="S205" s="30">
        <f t="shared" si="57"/>
        <v>0</v>
      </c>
      <c r="T205" s="75"/>
      <c r="U205" s="75">
        <f t="shared" si="51"/>
        <v>0</v>
      </c>
    </row>
    <row r="206" spans="1:21" hidden="1" outlineLevel="1">
      <c r="A206" s="22"/>
      <c r="B206" s="35" t="str">
        <f>"    "&amp;"Finanskostnad"</f>
        <v xml:space="preserve">    Finanskostnad</v>
      </c>
      <c r="C206" s="36"/>
      <c r="D206" s="37">
        <f>SUM(D201:D205)</f>
        <v>22533.279999999999</v>
      </c>
      <c r="E206" s="33">
        <f>SUM(E201:E205)</f>
        <v>0</v>
      </c>
      <c r="F206" s="33">
        <f t="shared" si="53"/>
        <v>-22533.279999999999</v>
      </c>
      <c r="G206" s="33"/>
      <c r="H206" s="38">
        <f t="shared" si="45"/>
        <v>0</v>
      </c>
      <c r="I206" s="39">
        <f>SUM(I201:I205)</f>
        <v>8798.16</v>
      </c>
      <c r="J206" s="33">
        <f t="shared" si="54"/>
        <v>-13735.119999999999</v>
      </c>
      <c r="K206" s="33"/>
      <c r="L206" s="33">
        <f t="shared" si="47"/>
        <v>-156.11355101521227</v>
      </c>
      <c r="M206" s="37">
        <f>SUM(M201:M205)</f>
        <v>22533.279999999999</v>
      </c>
      <c r="N206" s="33">
        <f>SUM(N201:N205)</f>
        <v>0</v>
      </c>
      <c r="O206" s="33">
        <f t="shared" si="56"/>
        <v>-22533.279999999999</v>
      </c>
      <c r="P206" s="33"/>
      <c r="Q206" s="33">
        <f t="shared" si="49"/>
        <v>0</v>
      </c>
      <c r="R206" s="39">
        <f>SUM(R201:R205)</f>
        <v>8798.16</v>
      </c>
      <c r="S206" s="33">
        <f t="shared" si="57"/>
        <v>-13735.119999999999</v>
      </c>
      <c r="T206" s="34"/>
      <c r="U206" s="34">
        <f t="shared" si="51"/>
        <v>-156.11355101521227</v>
      </c>
    </row>
    <row r="207" spans="1:21" collapsed="1">
      <c r="A207" s="22"/>
      <c r="B207" s="41" t="s">
        <v>225</v>
      </c>
      <c r="C207" s="42"/>
      <c r="D207" s="43">
        <f>SUM(D206)</f>
        <v>22533.279999999999</v>
      </c>
      <c r="E207" s="44">
        <f>SUM(E206)</f>
        <v>0</v>
      </c>
      <c r="F207" s="44">
        <f t="shared" si="53"/>
        <v>-22533.279999999999</v>
      </c>
      <c r="G207" s="44"/>
      <c r="H207" s="45">
        <f t="shared" si="45"/>
        <v>0</v>
      </c>
      <c r="I207" s="46">
        <f>SUM(I206)</f>
        <v>8798.16</v>
      </c>
      <c r="J207" s="44">
        <f t="shared" si="54"/>
        <v>-13735.119999999999</v>
      </c>
      <c r="K207" s="44"/>
      <c r="L207" s="44">
        <f t="shared" si="47"/>
        <v>-156.11355101521227</v>
      </c>
      <c r="M207" s="43">
        <f>SUM(M206)</f>
        <v>22533.279999999999</v>
      </c>
      <c r="N207" s="44">
        <f>SUM(N206)</f>
        <v>0</v>
      </c>
      <c r="O207" s="44">
        <f t="shared" si="56"/>
        <v>-22533.279999999999</v>
      </c>
      <c r="P207" s="44"/>
      <c r="Q207" s="44">
        <f t="shared" si="49"/>
        <v>0</v>
      </c>
      <c r="R207" s="46">
        <f>SUM(R206)</f>
        <v>8798.16</v>
      </c>
      <c r="S207" s="44">
        <f t="shared" si="57"/>
        <v>-13735.119999999999</v>
      </c>
      <c r="T207" s="47"/>
      <c r="U207" s="47">
        <f t="shared" si="51"/>
        <v>-156.11355101521227</v>
      </c>
    </row>
    <row r="208" spans="1:21">
      <c r="A208" s="22"/>
      <c r="B208" s="48" t="s">
        <v>226</v>
      </c>
      <c r="C208" s="49"/>
      <c r="D208" s="50">
        <f>SUM(D200)-SUM(D207)</f>
        <v>2747527.3800000004</v>
      </c>
      <c r="E208" s="51">
        <f>SUM(E200)-SUM(E207)</f>
        <v>0</v>
      </c>
      <c r="F208" s="51">
        <f>D208-E208</f>
        <v>2747527.3800000004</v>
      </c>
      <c r="G208" s="51"/>
      <c r="H208" s="52">
        <f t="shared" si="45"/>
        <v>0</v>
      </c>
      <c r="I208" s="53">
        <f>SUM(I200)-SUM(I207)</f>
        <v>1394005.5999999999</v>
      </c>
      <c r="J208" s="51">
        <f>D208-I208</f>
        <v>1353521.7800000005</v>
      </c>
      <c r="K208" s="51"/>
      <c r="L208" s="51">
        <f t="shared" si="47"/>
        <v>97.09586389036032</v>
      </c>
      <c r="M208" s="50">
        <f>SUM(M200)-SUM(M207)</f>
        <v>2747527.3800000004</v>
      </c>
      <c r="N208" s="51">
        <f>SUM(N200)-SUM(N207)</f>
        <v>0</v>
      </c>
      <c r="O208" s="51">
        <f>M208-N208</f>
        <v>2747527.3800000004</v>
      </c>
      <c r="P208" s="51"/>
      <c r="Q208" s="51">
        <f t="shared" si="49"/>
        <v>0</v>
      </c>
      <c r="R208" s="53">
        <f>SUM(R200)-SUM(R207)</f>
        <v>1394005.5999999999</v>
      </c>
      <c r="S208" s="51">
        <f>M208-R208</f>
        <v>1353521.7800000005</v>
      </c>
      <c r="T208" s="54"/>
      <c r="U208" s="54">
        <f t="shared" si="51"/>
        <v>97.09586389036032</v>
      </c>
    </row>
    <row r="209" spans="1:22">
      <c r="A209" s="22"/>
      <c r="B209" s="27"/>
      <c r="C209" s="24"/>
      <c r="D209" s="58"/>
      <c r="E209" s="76"/>
      <c r="F209" s="59"/>
      <c r="G209" s="59"/>
      <c r="H209" s="60"/>
      <c r="I209" s="61"/>
      <c r="J209" s="59"/>
      <c r="K209" s="59"/>
      <c r="L209" s="59"/>
      <c r="M209" s="58"/>
      <c r="N209" s="76"/>
      <c r="O209" s="59"/>
      <c r="P209" s="59"/>
      <c r="Q209" s="59"/>
      <c r="R209" s="61"/>
      <c r="S209" s="59"/>
      <c r="T209" s="63"/>
      <c r="U209" s="63"/>
    </row>
    <row r="210" spans="1:22" ht="15.6">
      <c r="B210" s="77" t="s">
        <v>227</v>
      </c>
      <c r="C210" s="78"/>
      <c r="D210" s="79">
        <f ca="1">IFERROR(SUM(D193)+SUM(D208),0)</f>
        <v>4461327.4999999907</v>
      </c>
      <c r="E210" s="80">
        <f ca="1">IFERROR(SUM(E193)+SUM(E208),0)</f>
        <v>-194999.62524900585</v>
      </c>
      <c r="F210" s="80">
        <f ca="1">D210-E210</f>
        <v>4656327.1252489965</v>
      </c>
      <c r="G210" s="80"/>
      <c r="H210" s="81">
        <f ca="1">IF(E210=0,0,F210*100/E210)</f>
        <v>-2387.8646532284733</v>
      </c>
      <c r="I210" s="82">
        <f ca="1">IFERROR(SUM(I193)+SUM(I208),0)</f>
        <v>2436730.0999999996</v>
      </c>
      <c r="J210" s="80">
        <f ca="1">D210-I210</f>
        <v>2024597.3999999911</v>
      </c>
      <c r="K210" s="80"/>
      <c r="L210" s="80">
        <f ca="1">IF(I210=0,0,J210*100/I210)</f>
        <v>83.086649604730184</v>
      </c>
      <c r="M210" s="79">
        <f ca="1">IFERROR(SUM(M193)+SUM(M208),0)</f>
        <v>4461327.4999999907</v>
      </c>
      <c r="N210" s="80">
        <f ca="1">IFERROR(SUM(N193)+SUM(N208),0)</f>
        <v>-194999.62524900585</v>
      </c>
      <c r="O210" s="80">
        <f ca="1">M210-N210</f>
        <v>4656327.1252489965</v>
      </c>
      <c r="P210" s="80"/>
      <c r="Q210" s="80">
        <f ca="1">IF(N210=0,0,O210*100/N210)</f>
        <v>-2387.8646532284733</v>
      </c>
      <c r="R210" s="82">
        <f ca="1">IFERROR(SUM(R193)+SUM(R208),0)</f>
        <v>2436730.0999999996</v>
      </c>
      <c r="S210" s="80">
        <f ca="1">M210-R210</f>
        <v>2024597.3999999911</v>
      </c>
      <c r="T210" s="83"/>
      <c r="U210" s="84">
        <f ca="1">IF(R210=0,0,S210*100/R210)</f>
        <v>83.086649604730184</v>
      </c>
    </row>
    <row r="211" spans="1:22" ht="15.6">
      <c r="B211" s="85"/>
      <c r="C211" s="86"/>
      <c r="D211" s="87"/>
      <c r="E211" s="87"/>
      <c r="F211" s="87"/>
      <c r="G211" s="87"/>
      <c r="H211" s="88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</row>
    <row r="212" spans="1:22" hidden="1" outlineLevel="2">
      <c r="A212" s="22"/>
      <c r="B212" s="28">
        <v>8914</v>
      </c>
      <c r="C212" s="29" t="s">
        <v>228</v>
      </c>
      <c r="D212" s="30">
        <f>N(2269477.31)</f>
        <v>2269477.31</v>
      </c>
      <c r="E212" s="30">
        <f>N(-95000)</f>
        <v>-95000</v>
      </c>
      <c r="F212" s="30">
        <f>-D212+E212</f>
        <v>-2364477.31</v>
      </c>
      <c r="G212" s="30"/>
      <c r="H212" s="31">
        <f>IF(E212=0,0,F212*100/E212)</f>
        <v>2488.9234842105261</v>
      </c>
      <c r="I212" s="32">
        <f>N(-161797)</f>
        <v>-161797</v>
      </c>
      <c r="J212" s="30">
        <f>-D212+I212</f>
        <v>-2431274.31</v>
      </c>
      <c r="K212" s="30"/>
      <c r="L212" s="30">
        <f>IF(I212=0,0,J212*100/I212)</f>
        <v>1502.6695859626568</v>
      </c>
      <c r="M212" s="30">
        <f>N(2269477.31)</f>
        <v>2269477.31</v>
      </c>
      <c r="N212" s="30">
        <f>N(-95000)</f>
        <v>-95000</v>
      </c>
      <c r="O212" s="30">
        <f>-M212+N212</f>
        <v>-2364477.31</v>
      </c>
      <c r="P212" s="30"/>
      <c r="Q212" s="30">
        <f>IF(N212=0,0,O212*100/N212)</f>
        <v>2488.9234842105261</v>
      </c>
      <c r="R212" s="32">
        <f>N(-161797)</f>
        <v>-161797</v>
      </c>
      <c r="S212" s="30">
        <f>-M212+R212</f>
        <v>-2431274.31</v>
      </c>
      <c r="T212" s="30"/>
      <c r="U212" s="75">
        <f>IF(R212=0,0,S212*100/R212)</f>
        <v>1502.6695859626568</v>
      </c>
      <c r="V212" s="27"/>
    </row>
    <row r="213" spans="1:22" hidden="1" outlineLevel="2">
      <c r="A213" s="22"/>
      <c r="B213" s="28">
        <v>8960</v>
      </c>
      <c r="C213" s="29" t="s">
        <v>232</v>
      </c>
      <c r="D213" s="30">
        <f>N(2191850.19)</f>
        <v>2191850.19</v>
      </c>
      <c r="E213" s="30">
        <f>N(0)</f>
        <v>0</v>
      </c>
      <c r="F213" s="30">
        <f>-D213+E213</f>
        <v>-2191850.19</v>
      </c>
      <c r="G213" s="30"/>
      <c r="H213" s="31">
        <f>IF(E213=0,0,F213*100/E213)</f>
        <v>0</v>
      </c>
      <c r="I213" s="32">
        <f>N(2598527.1)</f>
        <v>2598527.1</v>
      </c>
      <c r="J213" s="30">
        <f>-D213+I213</f>
        <v>406676.91000000015</v>
      </c>
      <c r="K213" s="30"/>
      <c r="L213" s="30">
        <f>IF(I213=0,0,J213*100/I213)</f>
        <v>15.650285502121573</v>
      </c>
      <c r="M213" s="30">
        <f>N(2191850.19)</f>
        <v>2191850.19</v>
      </c>
      <c r="N213" s="30">
        <f>N(0)</f>
        <v>0</v>
      </c>
      <c r="O213" s="30">
        <f>-M213+N213</f>
        <v>-2191850.19</v>
      </c>
      <c r="P213" s="30"/>
      <c r="Q213" s="30">
        <f>IF(N213=0,0,O213*100/N213)</f>
        <v>0</v>
      </c>
      <c r="R213" s="32">
        <f>N(2598527.1)</f>
        <v>2598527.1</v>
      </c>
      <c r="S213" s="30">
        <f>-M213+R213</f>
        <v>406676.91000000015</v>
      </c>
      <c r="T213" s="30"/>
      <c r="U213" s="75">
        <f>IF(R213=0,0,S213*100/R213)</f>
        <v>15.650285502121573</v>
      </c>
      <c r="V213" s="27"/>
    </row>
    <row r="214" spans="1:22" hidden="1" outlineLevel="1">
      <c r="A214" s="22"/>
      <c r="B214" s="35" t="str">
        <f>"    "&amp;"Overføringer og disponeringer"</f>
        <v xml:space="preserve">    Overføringer og disponeringer</v>
      </c>
      <c r="C214" s="36"/>
      <c r="D214" s="37">
        <f>SUM(D212:D213)</f>
        <v>4461327.5</v>
      </c>
      <c r="E214" s="33">
        <f>SUM(E212:E213)</f>
        <v>-95000</v>
      </c>
      <c r="F214" s="33">
        <f>-D214+E214</f>
        <v>-4556327.5</v>
      </c>
      <c r="G214" s="33"/>
      <c r="H214" s="38">
        <f>IF(E214=0,0,F214*100/E214)</f>
        <v>4796.1342105263157</v>
      </c>
      <c r="I214" s="39">
        <f>SUM(I212:I213)</f>
        <v>2436730.1</v>
      </c>
      <c r="J214" s="33">
        <f>-D214+I214</f>
        <v>-2024597.4</v>
      </c>
      <c r="K214" s="33"/>
      <c r="L214" s="33">
        <f>IF(I214=0,0,J214*100/I214)</f>
        <v>-83.086649604730539</v>
      </c>
      <c r="M214" s="37">
        <f>SUM(M212:M213)</f>
        <v>4461327.5</v>
      </c>
      <c r="N214" s="33">
        <f>SUM(N212:N213)</f>
        <v>-95000</v>
      </c>
      <c r="O214" s="33">
        <f>-M214+N214</f>
        <v>-4556327.5</v>
      </c>
      <c r="P214" s="33"/>
      <c r="Q214" s="33">
        <f>IF(N214=0,0,O214*100/N214)</f>
        <v>4796.1342105263157</v>
      </c>
      <c r="R214" s="39">
        <f>SUM(R212:R213)</f>
        <v>2436730.1</v>
      </c>
      <c r="S214" s="33">
        <f>-M214+R214</f>
        <v>-2024597.4</v>
      </c>
      <c r="T214" s="33"/>
      <c r="U214" s="34">
        <f>IF(R214=0,0,S214*100/R214)</f>
        <v>-83.086649604730539</v>
      </c>
      <c r="V214" s="27"/>
    </row>
    <row r="215" spans="1:22" collapsed="1">
      <c r="A215" s="22"/>
      <c r="B215" s="89" t="s">
        <v>233</v>
      </c>
      <c r="C215" s="90"/>
      <c r="D215" s="91">
        <f>SUM(D214)</f>
        <v>4461327.5</v>
      </c>
      <c r="E215" s="92">
        <f>SUM(E214)</f>
        <v>-95000</v>
      </c>
      <c r="F215" s="92">
        <f>-D215+E215</f>
        <v>-4556327.5</v>
      </c>
      <c r="G215" s="92"/>
      <c r="H215" s="93">
        <f>IF(E215=0,0,F215*100/E215)</f>
        <v>4796.1342105263157</v>
      </c>
      <c r="I215" s="94">
        <f>SUM(I214)</f>
        <v>2436730.1</v>
      </c>
      <c r="J215" s="92">
        <f>-D215+I215</f>
        <v>-2024597.4</v>
      </c>
      <c r="K215" s="92"/>
      <c r="L215" s="92">
        <f>IF(I215=0,0,J215*100/I215)</f>
        <v>-83.086649604730539</v>
      </c>
      <c r="M215" s="91">
        <f>SUM(M214)</f>
        <v>4461327.5</v>
      </c>
      <c r="N215" s="92">
        <f>SUM(N214)</f>
        <v>-95000</v>
      </c>
      <c r="O215" s="92">
        <f>-M215+N215</f>
        <v>-4556327.5</v>
      </c>
      <c r="P215" s="92"/>
      <c r="Q215" s="92">
        <f>IF(N215=0,0,O215*100/N215)</f>
        <v>4796.1342105263157</v>
      </c>
      <c r="R215" s="94">
        <f>SUM(R214)</f>
        <v>2436730.1</v>
      </c>
      <c r="S215" s="92">
        <f>-M215+R215</f>
        <v>-2024597.4</v>
      </c>
      <c r="T215" s="92"/>
      <c r="U215" s="95">
        <f>IF(R215=0,0,S215*100/R215)</f>
        <v>-83.086649604730539</v>
      </c>
      <c r="V215" s="27"/>
    </row>
    <row r="216" spans="1:22">
      <c r="R216" s="96"/>
    </row>
    <row r="217" spans="1:22">
      <c r="C217" s="97"/>
      <c r="R217" s="6"/>
    </row>
  </sheetData>
  <mergeCells count="2">
    <mergeCell ref="D9:L9"/>
    <mergeCell ref="M9:U9"/>
  </mergeCells>
  <conditionalFormatting sqref="B5:B7 D5:D7">
    <cfRule type="expression" dxfId="10" priority="1">
      <formula>LEFT(B5,1)="x"</formula>
    </cfRule>
  </conditionalFormatting>
  <conditionalFormatting sqref="C5:C7 E5:E7">
    <cfRule type="expression" dxfId="9" priority="2">
      <formula>LEFT(B5,1)="x"</formula>
    </cfRule>
  </conditionalFormatting>
  <pageMargins left="0.23622047244094491" right="0.23622047244094491" top="0.35433070866141736" bottom="0.35433070866141736" header="0.31496062992125984" footer="0.31496062992125984"/>
  <pageSetup paperSize="9" scale="72" fitToHeight="0" orientation="landscape"/>
  <headerFooter>
    <oddFooter>&amp;C&amp;G&amp;R
Side &amp;P av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A3D16-9BD9-4095-8CA8-DC7AED670405}">
  <sheetPr>
    <pageSetUpPr fitToPage="1"/>
  </sheetPr>
  <dimension ref="A1:V221"/>
  <sheetViews>
    <sheetView showGridLines="0" workbookViewId="0">
      <pane ySplit="10" topLeftCell="A11" activePane="bottomLeft" state="frozen"/>
      <selection pane="bottomLeft" activeCell="D22" sqref="D22"/>
    </sheetView>
  </sheetViews>
  <sheetFormatPr defaultColWidth="11.42578125" defaultRowHeight="14.45" outlineLevelRow="2" outlineLevelCol="1"/>
  <cols>
    <col min="1" max="1" width="1.7109375" customWidth="1"/>
    <col min="2" max="2" width="16" customWidth="1"/>
    <col min="3" max="3" width="32.7109375" customWidth="1"/>
    <col min="4" max="5" width="12.7109375" customWidth="1"/>
    <col min="6" max="6" width="12.7109375" hidden="1" customWidth="1" outlineLevel="1"/>
    <col min="7" max="7" width="2.140625" customWidth="1" collapsed="1"/>
    <col min="8" max="8" width="8.85546875" hidden="1" customWidth="1" outlineLevel="1"/>
    <col min="9" max="9" width="12.7109375" customWidth="1" collapsed="1"/>
    <col min="10" max="10" width="12.7109375" hidden="1" customWidth="1" outlineLevel="1"/>
    <col min="11" max="11" width="2.5703125" customWidth="1" collapsed="1"/>
    <col min="12" max="12" width="10" hidden="1" customWidth="1" outlineLevel="1"/>
    <col min="13" max="13" width="12.7109375" customWidth="1" collapsed="1"/>
    <col min="14" max="14" width="12.7109375" customWidth="1"/>
    <col min="15" max="15" width="12.7109375" hidden="1" customWidth="1" outlineLevel="1"/>
    <col min="16" max="16" width="3.42578125" customWidth="1" collapsed="1"/>
    <col min="17" max="17" width="6.7109375" hidden="1" customWidth="1" outlineLevel="1"/>
    <col min="18" max="18" width="12.7109375" customWidth="1" collapsed="1"/>
    <col min="19" max="19" width="12.7109375" hidden="1" customWidth="1" outlineLevel="1"/>
    <col min="20" max="20" width="2.85546875" customWidth="1" collapsed="1"/>
    <col min="21" max="21" width="8.5703125" hidden="1" customWidth="1" outlineLevel="1"/>
    <col min="22" max="22" width="11.42578125" collapsed="1"/>
  </cols>
  <sheetData>
    <row r="1" spans="1:21" ht="9.9499999999999993" customHeigh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6" t="s">
        <v>314</v>
      </c>
    </row>
    <row r="2" spans="1:21" ht="18">
      <c r="A2" s="7"/>
      <c r="B2" s="8" t="s">
        <v>315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9">
        <v>45322.59584490741</v>
      </c>
    </row>
    <row r="3" spans="1:21" ht="15.75" customHeight="1">
      <c r="A3" s="7"/>
      <c r="B3" s="10" t="s">
        <v>316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11"/>
    </row>
    <row r="4" spans="1:21" ht="11.25" hidden="1" customHeight="1" outlineLevel="1">
      <c r="A4" s="7"/>
      <c r="B4" s="8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11"/>
    </row>
    <row r="5" spans="1:21" ht="11.25" hidden="1" customHeight="1" outlineLevel="1">
      <c r="A5" s="12"/>
      <c r="B5" s="12" t="s">
        <v>317</v>
      </c>
      <c r="C5" s="13" t="str">
        <f>IF("*,NULL"="*,NULL","Alle","*,NULL")</f>
        <v>Alle</v>
      </c>
      <c r="D5" s="12" t="s">
        <v>318</v>
      </c>
      <c r="E5" s="13" t="str">
        <f>IF("*,NULL"="*,NULL","Alle","*,NULL")</f>
        <v>Alle</v>
      </c>
    </row>
    <row r="6" spans="1:21" ht="11.25" hidden="1" customHeight="1" outlineLevel="1">
      <c r="A6" s="12"/>
      <c r="B6" s="12" t="s">
        <v>319</v>
      </c>
      <c r="C6" s="13" t="str">
        <f>IF("*,NULL"="*,NULL","Alle","*,NULL")</f>
        <v>Alle</v>
      </c>
      <c r="D6" s="12" t="s">
        <v>320</v>
      </c>
      <c r="E6" s="13" t="str">
        <f>IF("*,NULL"="*,NULL","Alle","*,NULL")</f>
        <v>Alle</v>
      </c>
    </row>
    <row r="7" spans="1:21" ht="11.25" hidden="1" customHeight="1" outlineLevel="1">
      <c r="A7" s="12"/>
      <c r="B7" s="12" t="s">
        <v>321</v>
      </c>
      <c r="C7" s="13" t="str">
        <f>IF("*,NULL"="*,NULL","Alle","*,NULL")</f>
        <v>Alle</v>
      </c>
      <c r="D7" s="12" t="s">
        <v>322</v>
      </c>
      <c r="E7" s="13" t="str">
        <f>IF("*,NULL"="*,NULL","Alle","*,NULL")</f>
        <v>Alle</v>
      </c>
    </row>
    <row r="8" spans="1:21" ht="11.25" customHeight="1" collapsed="1">
      <c r="D8" s="6"/>
      <c r="E8" s="6"/>
    </row>
    <row r="9" spans="1:21">
      <c r="B9" s="14" t="str">
        <f>"Periode: "&amp;"202101"&amp;"-"&amp;"202112"</f>
        <v>Periode: 202101-202112</v>
      </c>
      <c r="C9" s="15"/>
      <c r="D9" s="183" t="s">
        <v>323</v>
      </c>
      <c r="E9" s="184"/>
      <c r="F9" s="184"/>
      <c r="G9" s="184"/>
      <c r="H9" s="184"/>
      <c r="I9" s="184"/>
      <c r="J9" s="184"/>
      <c r="K9" s="184"/>
      <c r="L9" s="184"/>
      <c r="M9" s="183" t="s">
        <v>324</v>
      </c>
      <c r="N9" s="184"/>
      <c r="O9" s="184"/>
      <c r="P9" s="184"/>
      <c r="Q9" s="184"/>
      <c r="R9" s="184"/>
      <c r="S9" s="184"/>
      <c r="T9" s="184"/>
      <c r="U9" s="185"/>
    </row>
    <row r="10" spans="1:21" ht="15" customHeight="1">
      <c r="B10" s="17"/>
      <c r="C10" s="18"/>
      <c r="D10" s="19" t="s">
        <v>325</v>
      </c>
      <c r="E10" s="20" t="s">
        <v>53</v>
      </c>
      <c r="F10" s="20" t="s">
        <v>326</v>
      </c>
      <c r="G10" s="20"/>
      <c r="H10" s="20" t="s">
        <v>327</v>
      </c>
      <c r="I10" s="20" t="s">
        <v>328</v>
      </c>
      <c r="J10" s="20" t="s">
        <v>326</v>
      </c>
      <c r="K10" s="20"/>
      <c r="L10" s="20" t="s">
        <v>329</v>
      </c>
      <c r="M10" s="21" t="s">
        <v>325</v>
      </c>
      <c r="N10" s="20" t="s">
        <v>53</v>
      </c>
      <c r="O10" s="20" t="s">
        <v>326</v>
      </c>
      <c r="P10" s="20"/>
      <c r="Q10" s="20" t="s">
        <v>327</v>
      </c>
      <c r="R10" s="20" t="s">
        <v>328</v>
      </c>
      <c r="S10" s="20" t="s">
        <v>326</v>
      </c>
      <c r="T10" s="18"/>
      <c r="U10" s="18" t="s">
        <v>329</v>
      </c>
    </row>
    <row r="11" spans="1:21" ht="9" customHeight="1">
      <c r="A11" s="22"/>
      <c r="B11" s="23"/>
      <c r="C11" s="24"/>
      <c r="D11" s="25"/>
      <c r="E11" s="26"/>
      <c r="F11" s="26"/>
      <c r="G11" s="26"/>
      <c r="H11" s="26"/>
      <c r="I11" s="26"/>
      <c r="J11" s="26"/>
      <c r="K11" s="26"/>
      <c r="L11" s="26"/>
      <c r="M11" s="27"/>
      <c r="T11" s="24"/>
      <c r="U11" s="24"/>
    </row>
    <row r="12" spans="1:21" hidden="1" outlineLevel="2">
      <c r="A12" s="22"/>
      <c r="B12" s="28">
        <v>3100</v>
      </c>
      <c r="C12" s="29" t="s">
        <v>54</v>
      </c>
      <c r="D12" s="5">
        <f t="shared" ref="D12:E14" si="0">-N(0)</f>
        <v>0</v>
      </c>
      <c r="E12" s="30">
        <f t="shared" si="0"/>
        <v>0</v>
      </c>
      <c r="F12" s="30">
        <f t="shared" ref="F12:F20" si="1">D12-E12</f>
        <v>0</v>
      </c>
      <c r="G12" s="30"/>
      <c r="H12" s="31">
        <f t="shared" ref="H12:H20" si="2">IF(E12=0,0,F12*100/E12)</f>
        <v>0</v>
      </c>
      <c r="I12" s="32">
        <f>-N(-490)</f>
        <v>490</v>
      </c>
      <c r="J12" s="30">
        <f t="shared" ref="J12:J20" si="3">D12-I12</f>
        <v>-490</v>
      </c>
      <c r="K12" s="30"/>
      <c r="L12" s="30">
        <f t="shared" ref="L12:L20" si="4">IF(I12=0,0,J12*100/I12)</f>
        <v>-100</v>
      </c>
      <c r="M12" s="5">
        <f t="shared" ref="M12:N14" si="5">-N(0)</f>
        <v>0</v>
      </c>
      <c r="N12" s="30">
        <f t="shared" si="5"/>
        <v>0</v>
      </c>
      <c r="O12" s="30">
        <f t="shared" ref="O12:O20" si="6">M12-N12</f>
        <v>0</v>
      </c>
      <c r="P12" s="30"/>
      <c r="Q12" s="30">
        <f t="shared" ref="Q12:Q20" si="7">IF(N12=0,0,O12*100/N12)</f>
        <v>0</v>
      </c>
      <c r="R12" s="32">
        <f>-N(-490)</f>
        <v>490</v>
      </c>
      <c r="S12" s="33">
        <f t="shared" ref="S12:S20" si="8">M12-R12</f>
        <v>-490</v>
      </c>
      <c r="T12" s="34"/>
      <c r="U12" s="34">
        <f t="shared" ref="U12:U20" si="9">IF(R12=0,0,S12*100/R12)</f>
        <v>-100</v>
      </c>
    </row>
    <row r="13" spans="1:21" hidden="1" outlineLevel="2">
      <c r="A13" s="22"/>
      <c r="B13" s="28">
        <v>3110</v>
      </c>
      <c r="C13" s="29" t="s">
        <v>55</v>
      </c>
      <c r="D13" s="5">
        <f>-N(-2000)</f>
        <v>2000</v>
      </c>
      <c r="E13" s="30">
        <f t="shared" si="0"/>
        <v>0</v>
      </c>
      <c r="F13" s="30">
        <f t="shared" si="1"/>
        <v>2000</v>
      </c>
      <c r="G13" s="30"/>
      <c r="H13" s="31">
        <f t="shared" si="2"/>
        <v>0</v>
      </c>
      <c r="I13" s="32">
        <f>-N(0)</f>
        <v>0</v>
      </c>
      <c r="J13" s="30">
        <f t="shared" si="3"/>
        <v>2000</v>
      </c>
      <c r="K13" s="30"/>
      <c r="L13" s="30">
        <f t="shared" si="4"/>
        <v>0</v>
      </c>
      <c r="M13" s="5">
        <f>-N(-2000)</f>
        <v>2000</v>
      </c>
      <c r="N13" s="30">
        <f t="shared" si="5"/>
        <v>0</v>
      </c>
      <c r="O13" s="30">
        <f t="shared" si="6"/>
        <v>2000</v>
      </c>
      <c r="P13" s="30"/>
      <c r="Q13" s="30">
        <f t="shared" si="7"/>
        <v>0</v>
      </c>
      <c r="R13" s="32">
        <f>-N(0)</f>
        <v>0</v>
      </c>
      <c r="S13" s="33">
        <f t="shared" si="8"/>
        <v>2000</v>
      </c>
      <c r="T13" s="34"/>
      <c r="U13" s="34">
        <f t="shared" si="9"/>
        <v>0</v>
      </c>
    </row>
    <row r="14" spans="1:21" hidden="1" outlineLevel="2">
      <c r="A14" s="22"/>
      <c r="B14" s="28">
        <v>3700</v>
      </c>
      <c r="C14" s="29" t="s">
        <v>56</v>
      </c>
      <c r="D14" s="5">
        <f>-N(-382.5)</f>
        <v>382.5</v>
      </c>
      <c r="E14" s="30">
        <f t="shared" si="0"/>
        <v>0</v>
      </c>
      <c r="F14" s="30">
        <f t="shared" si="1"/>
        <v>382.5</v>
      </c>
      <c r="G14" s="30"/>
      <c r="H14" s="31">
        <f t="shared" si="2"/>
        <v>0</v>
      </c>
      <c r="I14" s="32">
        <f>-N(0)</f>
        <v>0</v>
      </c>
      <c r="J14" s="30">
        <f t="shared" si="3"/>
        <v>382.5</v>
      </c>
      <c r="K14" s="30"/>
      <c r="L14" s="30">
        <f t="shared" si="4"/>
        <v>0</v>
      </c>
      <c r="M14" s="5">
        <f>-N(-382.5)</f>
        <v>382.5</v>
      </c>
      <c r="N14" s="30">
        <f t="shared" si="5"/>
        <v>0</v>
      </c>
      <c r="O14" s="30">
        <f t="shared" si="6"/>
        <v>382.5</v>
      </c>
      <c r="P14" s="30"/>
      <c r="Q14" s="30">
        <f t="shared" si="7"/>
        <v>0</v>
      </c>
      <c r="R14" s="32">
        <f>-N(0)</f>
        <v>0</v>
      </c>
      <c r="S14" s="33">
        <f t="shared" si="8"/>
        <v>382.5</v>
      </c>
      <c r="T14" s="34"/>
      <c r="U14" s="34">
        <f t="shared" si="9"/>
        <v>0</v>
      </c>
    </row>
    <row r="15" spans="1:21" hidden="1" outlineLevel="1" collapsed="1">
      <c r="A15" s="22"/>
      <c r="B15" s="35" t="str">
        <f>"    "&amp;"Salgsinntekt, avgiftspliktig"</f>
        <v xml:space="preserve">    Salgsinntekt, avgiftspliktig</v>
      </c>
      <c r="C15" s="36"/>
      <c r="D15" s="37">
        <f>SUM(D12:D14)</f>
        <v>2382.5</v>
      </c>
      <c r="E15" s="33">
        <f>SUM(E12:E14)</f>
        <v>0</v>
      </c>
      <c r="F15" s="33">
        <f t="shared" si="1"/>
        <v>2382.5</v>
      </c>
      <c r="G15" s="33"/>
      <c r="H15" s="38">
        <f t="shared" si="2"/>
        <v>0</v>
      </c>
      <c r="I15" s="39">
        <f>SUM(I12:I14)</f>
        <v>490</v>
      </c>
      <c r="J15" s="33">
        <f t="shared" si="3"/>
        <v>1892.5</v>
      </c>
      <c r="K15" s="33"/>
      <c r="L15" s="40">
        <f t="shared" si="4"/>
        <v>386.22448979591837</v>
      </c>
      <c r="M15" s="37">
        <f>SUM(M12:M14)</f>
        <v>2382.5</v>
      </c>
      <c r="N15" s="33">
        <f>SUM(N12:N14)</f>
        <v>0</v>
      </c>
      <c r="O15" s="33">
        <f t="shared" si="6"/>
        <v>2382.5</v>
      </c>
      <c r="P15" s="33"/>
      <c r="Q15" s="33">
        <f t="shared" si="7"/>
        <v>0</v>
      </c>
      <c r="R15" s="39">
        <f>SUM(R12:R14)</f>
        <v>490</v>
      </c>
      <c r="S15" s="33">
        <f t="shared" si="8"/>
        <v>1892.5</v>
      </c>
      <c r="T15" s="34"/>
      <c r="U15" s="34">
        <f t="shared" si="9"/>
        <v>386.22448979591837</v>
      </c>
    </row>
    <row r="16" spans="1:21" hidden="1" outlineLevel="2">
      <c r="A16" s="22"/>
      <c r="B16" s="28">
        <v>3200</v>
      </c>
      <c r="C16" s="29" t="s">
        <v>58</v>
      </c>
      <c r="D16" s="5">
        <f>-N(-384750)</f>
        <v>384750</v>
      </c>
      <c r="E16" s="30">
        <f>-N(-431000)</f>
        <v>431000</v>
      </c>
      <c r="F16" s="30">
        <f t="shared" si="1"/>
        <v>-46250</v>
      </c>
      <c r="G16" s="30"/>
      <c r="H16" s="31">
        <f t="shared" si="2"/>
        <v>-10.730858468677495</v>
      </c>
      <c r="I16" s="32">
        <f>-N(-28700)</f>
        <v>28700</v>
      </c>
      <c r="J16" s="30">
        <f t="shared" si="3"/>
        <v>356050</v>
      </c>
      <c r="K16" s="30"/>
      <c r="L16" s="30">
        <f t="shared" si="4"/>
        <v>1240.5923344947735</v>
      </c>
      <c r="M16" s="5">
        <f>-N(-384750)</f>
        <v>384750</v>
      </c>
      <c r="N16" s="30">
        <f>-N(-431000)</f>
        <v>431000</v>
      </c>
      <c r="O16" s="30">
        <f t="shared" si="6"/>
        <v>-46250</v>
      </c>
      <c r="P16" s="30"/>
      <c r="Q16" s="30">
        <f t="shared" si="7"/>
        <v>-10.730858468677495</v>
      </c>
      <c r="R16" s="32">
        <f>-N(-28700)</f>
        <v>28700</v>
      </c>
      <c r="S16" s="33">
        <f t="shared" si="8"/>
        <v>356050</v>
      </c>
      <c r="T16" s="34"/>
      <c r="U16" s="34">
        <f t="shared" si="9"/>
        <v>1240.5923344947735</v>
      </c>
    </row>
    <row r="17" spans="1:21" hidden="1" outlineLevel="2">
      <c r="A17" s="22"/>
      <c r="B17" s="28">
        <v>3201</v>
      </c>
      <c r="C17" s="29" t="s">
        <v>59</v>
      </c>
      <c r="D17" s="5">
        <f>-N(-76400.18)</f>
        <v>76400.179999999993</v>
      </c>
      <c r="E17" s="30">
        <f>-N(0)</f>
        <v>0</v>
      </c>
      <c r="F17" s="30">
        <f t="shared" si="1"/>
        <v>76400.179999999993</v>
      </c>
      <c r="G17" s="30"/>
      <c r="H17" s="31">
        <f t="shared" si="2"/>
        <v>0</v>
      </c>
      <c r="I17" s="32">
        <f>-N(0)</f>
        <v>0</v>
      </c>
      <c r="J17" s="30">
        <f t="shared" si="3"/>
        <v>76400.179999999993</v>
      </c>
      <c r="K17" s="30"/>
      <c r="L17" s="30">
        <f t="shared" si="4"/>
        <v>0</v>
      </c>
      <c r="M17" s="5">
        <f>-N(-76400.18)</f>
        <v>76400.179999999993</v>
      </c>
      <c r="N17" s="30">
        <f>-N(0)</f>
        <v>0</v>
      </c>
      <c r="O17" s="30">
        <f t="shared" si="6"/>
        <v>76400.179999999993</v>
      </c>
      <c r="P17" s="30"/>
      <c r="Q17" s="30">
        <f t="shared" si="7"/>
        <v>0</v>
      </c>
      <c r="R17" s="32">
        <f>-N(0)</f>
        <v>0</v>
      </c>
      <c r="S17" s="33">
        <f t="shared" si="8"/>
        <v>76400.179999999993</v>
      </c>
      <c r="T17" s="34"/>
      <c r="U17" s="34">
        <f t="shared" si="9"/>
        <v>0</v>
      </c>
    </row>
    <row r="18" spans="1:21" hidden="1" outlineLevel="2">
      <c r="A18" s="22"/>
      <c r="B18" s="28">
        <v>3205</v>
      </c>
      <c r="C18" s="29" t="s">
        <v>61</v>
      </c>
      <c r="D18" s="5">
        <f>-N(-59108.1)</f>
        <v>59108.1</v>
      </c>
      <c r="E18" s="30">
        <f>-N(0)</f>
        <v>0</v>
      </c>
      <c r="F18" s="30">
        <f t="shared" si="1"/>
        <v>59108.1</v>
      </c>
      <c r="G18" s="30"/>
      <c r="H18" s="31">
        <f t="shared" si="2"/>
        <v>0</v>
      </c>
      <c r="I18" s="32">
        <f>-N(-1602.5)</f>
        <v>1602.5</v>
      </c>
      <c r="J18" s="30">
        <f t="shared" si="3"/>
        <v>57505.599999999999</v>
      </c>
      <c r="K18" s="30"/>
      <c r="L18" s="30">
        <f t="shared" si="4"/>
        <v>3588.492979719189</v>
      </c>
      <c r="M18" s="5">
        <f>-N(-59108.1)</f>
        <v>59108.1</v>
      </c>
      <c r="N18" s="30">
        <f>-N(0)</f>
        <v>0</v>
      </c>
      <c r="O18" s="30">
        <f t="shared" si="6"/>
        <v>59108.1</v>
      </c>
      <c r="P18" s="30"/>
      <c r="Q18" s="30">
        <f t="shared" si="7"/>
        <v>0</v>
      </c>
      <c r="R18" s="32">
        <f>-N(-1602.5)</f>
        <v>1602.5</v>
      </c>
      <c r="S18" s="33">
        <f t="shared" si="8"/>
        <v>57505.599999999999</v>
      </c>
      <c r="T18" s="34"/>
      <c r="U18" s="34">
        <f t="shared" si="9"/>
        <v>3588.492979719189</v>
      </c>
    </row>
    <row r="19" spans="1:21" hidden="1" outlineLevel="2">
      <c r="A19" s="22"/>
      <c r="B19" s="28">
        <v>3226</v>
      </c>
      <c r="C19" s="29" t="s">
        <v>62</v>
      </c>
      <c r="D19" s="5">
        <f>-N(0)</f>
        <v>0</v>
      </c>
      <c r="E19" s="30">
        <f>-N(0)</f>
        <v>0</v>
      </c>
      <c r="F19" s="30">
        <f t="shared" si="1"/>
        <v>0</v>
      </c>
      <c r="G19" s="30"/>
      <c r="H19" s="31">
        <f t="shared" si="2"/>
        <v>0</v>
      </c>
      <c r="I19" s="32">
        <f>-N(0)</f>
        <v>0</v>
      </c>
      <c r="J19" s="30">
        <f t="shared" si="3"/>
        <v>0</v>
      </c>
      <c r="K19" s="30"/>
      <c r="L19" s="30">
        <f t="shared" si="4"/>
        <v>0</v>
      </c>
      <c r="M19" s="5">
        <f>-N(0)</f>
        <v>0</v>
      </c>
      <c r="N19" s="30">
        <f>-N(0)</f>
        <v>0</v>
      </c>
      <c r="O19" s="30">
        <f t="shared" si="6"/>
        <v>0</v>
      </c>
      <c r="P19" s="30"/>
      <c r="Q19" s="30">
        <f t="shared" si="7"/>
        <v>0</v>
      </c>
      <c r="R19" s="32">
        <f>-N(0)</f>
        <v>0</v>
      </c>
      <c r="S19" s="33">
        <f t="shared" si="8"/>
        <v>0</v>
      </c>
      <c r="T19" s="34"/>
      <c r="U19" s="34">
        <f t="shared" si="9"/>
        <v>0</v>
      </c>
    </row>
    <row r="20" spans="1:21" hidden="1" outlineLevel="2">
      <c r="A20" s="22"/>
      <c r="B20" s="28">
        <v>3415</v>
      </c>
      <c r="C20" s="29" t="s">
        <v>65</v>
      </c>
      <c r="D20" s="5">
        <f>-N(-237595)</f>
        <v>237595</v>
      </c>
      <c r="E20" s="30">
        <f>-N(-181200)</f>
        <v>181200</v>
      </c>
      <c r="F20" s="30">
        <f t="shared" si="1"/>
        <v>56395</v>
      </c>
      <c r="G20" s="30"/>
      <c r="H20" s="31">
        <f t="shared" si="2"/>
        <v>31.123068432671083</v>
      </c>
      <c r="I20" s="32">
        <f>-N(-26672)</f>
        <v>26672</v>
      </c>
      <c r="J20" s="30">
        <f t="shared" si="3"/>
        <v>210923</v>
      </c>
      <c r="K20" s="30"/>
      <c r="L20" s="30">
        <f t="shared" si="4"/>
        <v>790.80308938212363</v>
      </c>
      <c r="M20" s="5">
        <f>-N(-237595)</f>
        <v>237595</v>
      </c>
      <c r="N20" s="30">
        <f>-N(-181200)</f>
        <v>181200</v>
      </c>
      <c r="O20" s="30">
        <f t="shared" si="6"/>
        <v>56395</v>
      </c>
      <c r="P20" s="30"/>
      <c r="Q20" s="30">
        <f t="shared" si="7"/>
        <v>31.123068432671083</v>
      </c>
      <c r="R20" s="32">
        <f>-N(-26672)</f>
        <v>26672</v>
      </c>
      <c r="S20" s="33">
        <f t="shared" si="8"/>
        <v>210923</v>
      </c>
      <c r="T20" s="34"/>
      <c r="U20" s="34">
        <f t="shared" si="9"/>
        <v>790.80308938212363</v>
      </c>
    </row>
    <row r="21" spans="1:21" hidden="1" outlineLevel="1" collapsed="1">
      <c r="A21" s="22"/>
      <c r="B21" s="35" t="str">
        <f>"    "&amp;"Arrangement"</f>
        <v xml:space="preserve">    Arrangement</v>
      </c>
      <c r="C21" s="36"/>
      <c r="D21" s="37">
        <f>SUM(D16:D20)</f>
        <v>757853.28</v>
      </c>
      <c r="E21" s="33">
        <f>SUM(E16:E20)</f>
        <v>612200</v>
      </c>
      <c r="F21" s="33">
        <f>D21-E21</f>
        <v>145653.28000000003</v>
      </c>
      <c r="G21" s="33"/>
      <c r="H21" s="38">
        <f>IF(E21=0,0,F21*100/E21)</f>
        <v>23.791780463900693</v>
      </c>
      <c r="I21" s="39">
        <f>SUM(I16:I20)</f>
        <v>56974.5</v>
      </c>
      <c r="J21" s="33">
        <f>D21-I21</f>
        <v>700878.78</v>
      </c>
      <c r="K21" s="33"/>
      <c r="L21" s="40">
        <f>IF(I21=0,0,J21*100/I21)</f>
        <v>1230.1622304715268</v>
      </c>
      <c r="M21" s="37">
        <f>SUM(M16:M20)</f>
        <v>757853.28</v>
      </c>
      <c r="N21" s="33">
        <f>SUM(N16:N20)</f>
        <v>612200</v>
      </c>
      <c r="O21" s="33">
        <f>M21-N21</f>
        <v>145653.28000000003</v>
      </c>
      <c r="P21" s="33"/>
      <c r="Q21" s="33">
        <f>IF(N21=0,0,O21*100/N21)</f>
        <v>23.791780463900693</v>
      </c>
      <c r="R21" s="39">
        <f>SUM(R16:R20)</f>
        <v>56974.5</v>
      </c>
      <c r="S21" s="33">
        <f>M21-R21</f>
        <v>700878.78</v>
      </c>
      <c r="T21" s="34"/>
      <c r="U21" s="34">
        <f>IF(R21=0,0,S21*100/R21)</f>
        <v>1230.1622304715268</v>
      </c>
    </row>
    <row r="22" spans="1:21" collapsed="1">
      <c r="A22" s="22"/>
      <c r="B22" s="41" t="s">
        <v>9</v>
      </c>
      <c r="C22" s="42"/>
      <c r="D22" s="43">
        <f>SUM(D15,D21)</f>
        <v>760235.78</v>
      </c>
      <c r="E22" s="44">
        <f>SUM(E15,E21)</f>
        <v>612200</v>
      </c>
      <c r="F22" s="44">
        <f t="shared" ref="F22:F42" si="10">D22-E22</f>
        <v>148035.78000000003</v>
      </c>
      <c r="G22" s="44"/>
      <c r="H22" s="45">
        <f t="shared" ref="H22:H42" si="11">IF(E22=0,0,F22*100/E22)</f>
        <v>24.180950669715784</v>
      </c>
      <c r="I22" s="46">
        <f>SUM(I15,I21)</f>
        <v>57464.5</v>
      </c>
      <c r="J22" s="44">
        <f t="shared" ref="J22:J42" si="12">D22-I22</f>
        <v>702771.28</v>
      </c>
      <c r="K22" s="44"/>
      <c r="L22" s="44">
        <f t="shared" ref="L22:L42" si="13">IF(I22=0,0,J22*100/I22)</f>
        <v>1222.9659702947038</v>
      </c>
      <c r="M22" s="43">
        <f>SUM(M15,M21)</f>
        <v>760235.78</v>
      </c>
      <c r="N22" s="44">
        <f>SUM(N15,N21)</f>
        <v>612200</v>
      </c>
      <c r="O22" s="44">
        <f t="shared" ref="O22:O42" si="14">M22-N22</f>
        <v>148035.78000000003</v>
      </c>
      <c r="P22" s="44"/>
      <c r="Q22" s="44">
        <f t="shared" ref="Q22:Q42" si="15">IF(N22=0,0,O22*100/N22)</f>
        <v>24.180950669715784</v>
      </c>
      <c r="R22" s="46">
        <f>SUM(R15,R21)</f>
        <v>57464.5</v>
      </c>
      <c r="S22" s="44">
        <f t="shared" ref="S22:S42" si="16">M22-R22</f>
        <v>702771.28</v>
      </c>
      <c r="T22" s="47"/>
      <c r="U22" s="47">
        <f t="shared" ref="U22:U42" si="17">IF(R22=0,0,S22*100/R22)</f>
        <v>1222.9659702947038</v>
      </c>
    </row>
    <row r="23" spans="1:21" hidden="1" outlineLevel="2">
      <c r="A23" s="22"/>
      <c r="B23" s="28">
        <v>3218</v>
      </c>
      <c r="C23" s="29" t="s">
        <v>67</v>
      </c>
      <c r="D23" s="5">
        <f>-N(-9675.5)</f>
        <v>9675.5</v>
      </c>
      <c r="E23" s="30">
        <f>-N(0)</f>
        <v>0</v>
      </c>
      <c r="F23" s="30">
        <f t="shared" si="10"/>
        <v>9675.5</v>
      </c>
      <c r="G23" s="30"/>
      <c r="H23" s="31">
        <f t="shared" si="11"/>
        <v>0</v>
      </c>
      <c r="I23" s="32">
        <f>-N(-10744.72)</f>
        <v>10744.72</v>
      </c>
      <c r="J23" s="30">
        <f t="shared" si="12"/>
        <v>-1069.2199999999993</v>
      </c>
      <c r="K23" s="30"/>
      <c r="L23" s="30">
        <f t="shared" si="13"/>
        <v>-9.9511201780967724</v>
      </c>
      <c r="M23" s="5">
        <f>-N(-9675.5)</f>
        <v>9675.5</v>
      </c>
      <c r="N23" s="30">
        <f>-N(0)</f>
        <v>0</v>
      </c>
      <c r="O23" s="30">
        <f t="shared" si="14"/>
        <v>9675.5</v>
      </c>
      <c r="P23" s="30"/>
      <c r="Q23" s="30">
        <f t="shared" si="15"/>
        <v>0</v>
      </c>
      <c r="R23" s="32">
        <f>-N(-10744.72)</f>
        <v>10744.72</v>
      </c>
      <c r="S23" s="33">
        <f t="shared" si="16"/>
        <v>-1069.2199999999993</v>
      </c>
      <c r="T23" s="34"/>
      <c r="U23" s="34">
        <f t="shared" si="17"/>
        <v>-9.9511201780967724</v>
      </c>
    </row>
    <row r="24" spans="1:21" hidden="1" outlineLevel="2">
      <c r="A24" s="22"/>
      <c r="B24" s="28">
        <v>3235</v>
      </c>
      <c r="C24" s="29" t="s">
        <v>68</v>
      </c>
      <c r="D24" s="5">
        <f>-N(0)</f>
        <v>0</v>
      </c>
      <c r="E24" s="30">
        <f>-N(0)</f>
        <v>0</v>
      </c>
      <c r="F24" s="30">
        <f t="shared" si="10"/>
        <v>0</v>
      </c>
      <c r="G24" s="30"/>
      <c r="H24" s="31">
        <f t="shared" si="11"/>
        <v>0</v>
      </c>
      <c r="I24" s="32">
        <f>-N(0)</f>
        <v>0</v>
      </c>
      <c r="J24" s="30">
        <f t="shared" si="12"/>
        <v>0</v>
      </c>
      <c r="K24" s="30"/>
      <c r="L24" s="30">
        <f t="shared" si="13"/>
        <v>0</v>
      </c>
      <c r="M24" s="5">
        <f>-N(0)</f>
        <v>0</v>
      </c>
      <c r="N24" s="30">
        <f>-N(0)</f>
        <v>0</v>
      </c>
      <c r="O24" s="30">
        <f t="shared" si="14"/>
        <v>0</v>
      </c>
      <c r="P24" s="30"/>
      <c r="Q24" s="30">
        <f t="shared" si="15"/>
        <v>0</v>
      </c>
      <c r="R24" s="32">
        <f>-N(0)</f>
        <v>0</v>
      </c>
      <c r="S24" s="33">
        <f t="shared" si="16"/>
        <v>0</v>
      </c>
      <c r="T24" s="34"/>
      <c r="U24" s="34">
        <f t="shared" si="17"/>
        <v>0</v>
      </c>
    </row>
    <row r="25" spans="1:21" hidden="1" outlineLevel="2">
      <c r="A25" s="22"/>
      <c r="B25" s="28">
        <v>3238</v>
      </c>
      <c r="C25" s="29" t="s">
        <v>69</v>
      </c>
      <c r="D25" s="5">
        <f>-N(-1900334.09)</f>
        <v>1900334.09</v>
      </c>
      <c r="E25" s="30">
        <f>-N(-1795000)</f>
        <v>1795000</v>
      </c>
      <c r="F25" s="30">
        <f t="shared" si="10"/>
        <v>105334.09000000008</v>
      </c>
      <c r="G25" s="30"/>
      <c r="H25" s="31">
        <f t="shared" si="11"/>
        <v>5.8681944289693631</v>
      </c>
      <c r="I25" s="32">
        <f>-N(-2361092.9)</f>
        <v>2361092.9</v>
      </c>
      <c r="J25" s="30">
        <f t="shared" si="12"/>
        <v>-460758.80999999982</v>
      </c>
      <c r="K25" s="30"/>
      <c r="L25" s="30">
        <f t="shared" si="13"/>
        <v>-19.514641291750944</v>
      </c>
      <c r="M25" s="5">
        <f>-N(-1900334.09)</f>
        <v>1900334.09</v>
      </c>
      <c r="N25" s="30">
        <f>-N(-1795000)</f>
        <v>1795000</v>
      </c>
      <c r="O25" s="30">
        <f t="shared" si="14"/>
        <v>105334.09000000008</v>
      </c>
      <c r="P25" s="30"/>
      <c r="Q25" s="30">
        <f t="shared" si="15"/>
        <v>5.8681944289693631</v>
      </c>
      <c r="R25" s="32">
        <f>-N(-2361092.9)</f>
        <v>2361092.9</v>
      </c>
      <c r="S25" s="33">
        <f t="shared" si="16"/>
        <v>-460758.80999999982</v>
      </c>
      <c r="T25" s="34"/>
      <c r="U25" s="34">
        <f t="shared" si="17"/>
        <v>-19.514641291750944</v>
      </c>
    </row>
    <row r="26" spans="1:21" hidden="1" outlineLevel="1" collapsed="1">
      <c r="A26" s="22"/>
      <c r="B26" s="35" t="str">
        <f>"    "&amp;"Gaver"</f>
        <v xml:space="preserve">    Gaver</v>
      </c>
      <c r="C26" s="36"/>
      <c r="D26" s="37">
        <f>SUM(D23:D25)</f>
        <v>1910009.59</v>
      </c>
      <c r="E26" s="33">
        <f>SUM(E23:E25)</f>
        <v>1795000</v>
      </c>
      <c r="F26" s="33">
        <f t="shared" si="10"/>
        <v>115009.59000000008</v>
      </c>
      <c r="G26" s="33"/>
      <c r="H26" s="38">
        <f t="shared" si="11"/>
        <v>6.4072194986072466</v>
      </c>
      <c r="I26" s="39">
        <f>SUM(I23:I25)</f>
        <v>2371837.62</v>
      </c>
      <c r="J26" s="33">
        <f t="shared" si="12"/>
        <v>-461828.03</v>
      </c>
      <c r="K26" s="33"/>
      <c r="L26" s="40">
        <f t="shared" si="13"/>
        <v>-19.471317349288018</v>
      </c>
      <c r="M26" s="37">
        <f>SUM(M23:M25)</f>
        <v>1910009.59</v>
      </c>
      <c r="N26" s="33">
        <f>SUM(N23:N25)</f>
        <v>1795000</v>
      </c>
      <c r="O26" s="33">
        <f t="shared" si="14"/>
        <v>115009.59000000008</v>
      </c>
      <c r="P26" s="33"/>
      <c r="Q26" s="33">
        <f t="shared" si="15"/>
        <v>6.4072194986072466</v>
      </c>
      <c r="R26" s="39">
        <f>SUM(R23:R25)</f>
        <v>2371837.62</v>
      </c>
      <c r="S26" s="33">
        <f t="shared" si="16"/>
        <v>-461828.03</v>
      </c>
      <c r="T26" s="34"/>
      <c r="U26" s="34">
        <f t="shared" si="17"/>
        <v>-19.471317349288018</v>
      </c>
    </row>
    <row r="27" spans="1:21" collapsed="1">
      <c r="A27" s="22"/>
      <c r="B27" s="41" t="s">
        <v>70</v>
      </c>
      <c r="C27" s="42"/>
      <c r="D27" s="43">
        <f>SUM(D26)</f>
        <v>1910009.59</v>
      </c>
      <c r="E27" s="44">
        <f>SUM(E26)</f>
        <v>1795000</v>
      </c>
      <c r="F27" s="44">
        <f t="shared" si="10"/>
        <v>115009.59000000008</v>
      </c>
      <c r="G27" s="44"/>
      <c r="H27" s="45">
        <f t="shared" si="11"/>
        <v>6.4072194986072466</v>
      </c>
      <c r="I27" s="46">
        <f>SUM(I26)</f>
        <v>2371837.62</v>
      </c>
      <c r="J27" s="44">
        <f t="shared" si="12"/>
        <v>-461828.03</v>
      </c>
      <c r="K27" s="44"/>
      <c r="L27" s="44">
        <f t="shared" si="13"/>
        <v>-19.471317349288018</v>
      </c>
      <c r="M27" s="43">
        <f>SUM(M26)</f>
        <v>1910009.59</v>
      </c>
      <c r="N27" s="44">
        <f>SUM(N26)</f>
        <v>1795000</v>
      </c>
      <c r="O27" s="44">
        <f t="shared" si="14"/>
        <v>115009.59000000008</v>
      </c>
      <c r="P27" s="44"/>
      <c r="Q27" s="44">
        <f t="shared" si="15"/>
        <v>6.4072194986072466</v>
      </c>
      <c r="R27" s="46">
        <f>SUM(R26)</f>
        <v>2371837.62</v>
      </c>
      <c r="S27" s="44">
        <f t="shared" si="16"/>
        <v>-461828.03</v>
      </c>
      <c r="T27" s="47"/>
      <c r="U27" s="47">
        <f t="shared" si="17"/>
        <v>-19.471317349288018</v>
      </c>
    </row>
    <row r="28" spans="1:21" hidden="1" outlineLevel="2">
      <c r="A28" s="22"/>
      <c r="B28" s="28">
        <v>3225</v>
      </c>
      <c r="C28" s="29" t="s">
        <v>71</v>
      </c>
      <c r="D28" s="5">
        <f>-N(-284420)</f>
        <v>284420</v>
      </c>
      <c r="E28" s="30">
        <f>-N(-400000)</f>
        <v>400000</v>
      </c>
      <c r="F28" s="30">
        <f t="shared" si="10"/>
        <v>-115580</v>
      </c>
      <c r="G28" s="30"/>
      <c r="H28" s="31">
        <f t="shared" si="11"/>
        <v>-28.895</v>
      </c>
      <c r="I28" s="32">
        <f>-N(-140735)</f>
        <v>140735</v>
      </c>
      <c r="J28" s="30">
        <f t="shared" si="12"/>
        <v>143685</v>
      </c>
      <c r="K28" s="30"/>
      <c r="L28" s="30">
        <f t="shared" si="13"/>
        <v>102.09613813195011</v>
      </c>
      <c r="M28" s="5">
        <f>-N(-284420)</f>
        <v>284420</v>
      </c>
      <c r="N28" s="30">
        <f>-N(-400000)</f>
        <v>400000</v>
      </c>
      <c r="O28" s="30">
        <f t="shared" si="14"/>
        <v>-115580</v>
      </c>
      <c r="P28" s="30"/>
      <c r="Q28" s="30">
        <f t="shared" si="15"/>
        <v>-28.895</v>
      </c>
      <c r="R28" s="32">
        <f>-N(-140735)</f>
        <v>140735</v>
      </c>
      <c r="S28" s="33">
        <f t="shared" si="16"/>
        <v>143685</v>
      </c>
      <c r="T28" s="34"/>
      <c r="U28" s="34">
        <f t="shared" si="17"/>
        <v>102.09613813195011</v>
      </c>
    </row>
    <row r="29" spans="1:21" hidden="1" outlineLevel="2">
      <c r="A29" s="22"/>
      <c r="B29" s="28">
        <v>3410</v>
      </c>
      <c r="C29" s="29" t="s">
        <v>22</v>
      </c>
      <c r="D29" s="5">
        <f>-N(-3891232.1)</f>
        <v>3891232.1</v>
      </c>
      <c r="E29" s="30">
        <f>-N(-3972000)</f>
        <v>3972000</v>
      </c>
      <c r="F29" s="30">
        <f t="shared" si="10"/>
        <v>-80767.899999999907</v>
      </c>
      <c r="G29" s="30"/>
      <c r="H29" s="31">
        <f t="shared" si="11"/>
        <v>-2.033431520644509</v>
      </c>
      <c r="I29" s="32">
        <f>-N(-3077286.53)</f>
        <v>3077286.53</v>
      </c>
      <c r="J29" s="30">
        <f t="shared" si="12"/>
        <v>813945.5700000003</v>
      </c>
      <c r="K29" s="30"/>
      <c r="L29" s="30">
        <f t="shared" si="13"/>
        <v>26.45010667888636</v>
      </c>
      <c r="M29" s="5">
        <f>-N(-3891232.1)</f>
        <v>3891232.1</v>
      </c>
      <c r="N29" s="30">
        <f>-N(-3972000)</f>
        <v>3972000</v>
      </c>
      <c r="O29" s="30">
        <f t="shared" si="14"/>
        <v>-80767.899999999907</v>
      </c>
      <c r="P29" s="30"/>
      <c r="Q29" s="30">
        <f t="shared" si="15"/>
        <v>-2.033431520644509</v>
      </c>
      <c r="R29" s="32">
        <f>-N(-3077286.53)</f>
        <v>3077286.53</v>
      </c>
      <c r="S29" s="33">
        <f t="shared" si="16"/>
        <v>813945.5700000003</v>
      </c>
      <c r="T29" s="34"/>
      <c r="U29" s="34">
        <f t="shared" si="17"/>
        <v>26.45010667888636</v>
      </c>
    </row>
    <row r="30" spans="1:21" hidden="1" outlineLevel="2">
      <c r="A30" s="22"/>
      <c r="B30" s="28">
        <v>3411</v>
      </c>
      <c r="C30" s="29" t="s">
        <v>23</v>
      </c>
      <c r="D30" s="5">
        <f>-N(-272386.66)</f>
        <v>272386.65999999997</v>
      </c>
      <c r="E30" s="30">
        <f>-N(-278000)</f>
        <v>278000</v>
      </c>
      <c r="F30" s="30">
        <f t="shared" si="10"/>
        <v>-5613.3400000000256</v>
      </c>
      <c r="G30" s="30"/>
      <c r="H30" s="31">
        <f t="shared" si="11"/>
        <v>-2.0191870503597213</v>
      </c>
      <c r="I30" s="32">
        <f>-N(-215410.81)</f>
        <v>215410.81</v>
      </c>
      <c r="J30" s="30">
        <f t="shared" si="12"/>
        <v>56975.849999999977</v>
      </c>
      <c r="K30" s="30"/>
      <c r="L30" s="30">
        <f t="shared" si="13"/>
        <v>26.449856439423808</v>
      </c>
      <c r="M30" s="5">
        <f>-N(-272386.66)</f>
        <v>272386.65999999997</v>
      </c>
      <c r="N30" s="30">
        <f>-N(-278000)</f>
        <v>278000</v>
      </c>
      <c r="O30" s="30">
        <f t="shared" si="14"/>
        <v>-5613.3400000000256</v>
      </c>
      <c r="P30" s="30"/>
      <c r="Q30" s="30">
        <f t="shared" si="15"/>
        <v>-2.0191870503597213</v>
      </c>
      <c r="R30" s="32">
        <f>-N(-215410.81)</f>
        <v>215410.81</v>
      </c>
      <c r="S30" s="33">
        <f t="shared" si="16"/>
        <v>56975.849999999977</v>
      </c>
      <c r="T30" s="34"/>
      <c r="U30" s="34">
        <f t="shared" si="17"/>
        <v>26.449856439423808</v>
      </c>
    </row>
    <row r="31" spans="1:21" hidden="1" outlineLevel="2">
      <c r="A31" s="22"/>
      <c r="B31" s="28">
        <v>3412</v>
      </c>
      <c r="C31" s="29" t="s">
        <v>24</v>
      </c>
      <c r="D31" s="5">
        <f>-N(-261338)</f>
        <v>261338</v>
      </c>
      <c r="E31" s="30">
        <f>-N(0)</f>
        <v>0</v>
      </c>
      <c r="F31" s="30">
        <f t="shared" si="10"/>
        <v>261338</v>
      </c>
      <c r="G31" s="30"/>
      <c r="H31" s="31">
        <f t="shared" si="11"/>
        <v>0</v>
      </c>
      <c r="I31" s="32">
        <f>-N(669683)</f>
        <v>-669683</v>
      </c>
      <c r="J31" s="30">
        <f t="shared" si="12"/>
        <v>931021</v>
      </c>
      <c r="K31" s="30"/>
      <c r="L31" s="30">
        <f t="shared" si="13"/>
        <v>-139.0241352998359</v>
      </c>
      <c r="M31" s="5">
        <f>-N(-261338)</f>
        <v>261338</v>
      </c>
      <c r="N31" s="30">
        <f>-N(0)</f>
        <v>0</v>
      </c>
      <c r="O31" s="30">
        <f t="shared" si="14"/>
        <v>261338</v>
      </c>
      <c r="P31" s="30"/>
      <c r="Q31" s="30">
        <f t="shared" si="15"/>
        <v>0</v>
      </c>
      <c r="R31" s="32">
        <f>-N(669683)</f>
        <v>-669683</v>
      </c>
      <c r="S31" s="33">
        <f t="shared" si="16"/>
        <v>931021</v>
      </c>
      <c r="T31" s="34"/>
      <c r="U31" s="34">
        <f t="shared" si="17"/>
        <v>-139.0241352998359</v>
      </c>
    </row>
    <row r="32" spans="1:21" hidden="1" outlineLevel="2">
      <c r="A32" s="22"/>
      <c r="B32" s="28">
        <v>3450</v>
      </c>
      <c r="C32" s="29" t="s">
        <v>72</v>
      </c>
      <c r="D32" s="5">
        <f>-N(-11597823)</f>
        <v>11597823</v>
      </c>
      <c r="E32" s="30">
        <f>-N(-11597790)</f>
        <v>11597790</v>
      </c>
      <c r="F32" s="30">
        <f t="shared" si="10"/>
        <v>33</v>
      </c>
      <c r="G32" s="30"/>
      <c r="H32" s="31">
        <f t="shared" si="11"/>
        <v>2.8453696781886894E-4</v>
      </c>
      <c r="I32" s="32">
        <f>-N(-11314425)</f>
        <v>11314425</v>
      </c>
      <c r="J32" s="30">
        <f t="shared" si="12"/>
        <v>283398</v>
      </c>
      <c r="K32" s="30"/>
      <c r="L32" s="30">
        <f t="shared" si="13"/>
        <v>2.5047494680463216</v>
      </c>
      <c r="M32" s="5">
        <f>-N(-11597823)</f>
        <v>11597823</v>
      </c>
      <c r="N32" s="30">
        <f>-N(-11597790)</f>
        <v>11597790</v>
      </c>
      <c r="O32" s="30">
        <f t="shared" si="14"/>
        <v>33</v>
      </c>
      <c r="P32" s="30"/>
      <c r="Q32" s="30">
        <f t="shared" si="15"/>
        <v>2.8453696781886894E-4</v>
      </c>
      <c r="R32" s="32">
        <f>-N(-11314425)</f>
        <v>11314425</v>
      </c>
      <c r="S32" s="33">
        <f t="shared" si="16"/>
        <v>283398</v>
      </c>
      <c r="T32" s="34"/>
      <c r="U32" s="34">
        <f t="shared" si="17"/>
        <v>2.5047494680463216</v>
      </c>
    </row>
    <row r="33" spans="1:21" hidden="1" outlineLevel="1" collapsed="1">
      <c r="A33" s="22"/>
      <c r="B33" s="35" t="str">
        <f>"    "&amp;"Offentlige tilskudd og refusjoner"</f>
        <v xml:space="preserve">    Offentlige tilskudd og refusjoner</v>
      </c>
      <c r="C33" s="36"/>
      <c r="D33" s="37">
        <f>SUM(D28:D32)</f>
        <v>16307199.76</v>
      </c>
      <c r="E33" s="33">
        <f>SUM(E28:E32)</f>
        <v>16247790</v>
      </c>
      <c r="F33" s="33">
        <f t="shared" si="10"/>
        <v>59409.759999999776</v>
      </c>
      <c r="G33" s="33"/>
      <c r="H33" s="38">
        <f t="shared" si="11"/>
        <v>0.36564825123909023</v>
      </c>
      <c r="I33" s="39">
        <f>SUM(I28:I32)</f>
        <v>14078174.34</v>
      </c>
      <c r="J33" s="33">
        <f t="shared" si="12"/>
        <v>2229025.42</v>
      </c>
      <c r="K33" s="33"/>
      <c r="L33" s="40">
        <f t="shared" si="13"/>
        <v>15.833199434579527</v>
      </c>
      <c r="M33" s="37">
        <f>SUM(M28:M32)</f>
        <v>16307199.76</v>
      </c>
      <c r="N33" s="33">
        <f>SUM(N28:N32)</f>
        <v>16247790</v>
      </c>
      <c r="O33" s="33">
        <f t="shared" si="14"/>
        <v>59409.759999999776</v>
      </c>
      <c r="P33" s="33"/>
      <c r="Q33" s="33">
        <f t="shared" si="15"/>
        <v>0.36564825123909023</v>
      </c>
      <c r="R33" s="39">
        <f>SUM(R28:R32)</f>
        <v>14078174.34</v>
      </c>
      <c r="S33" s="33">
        <f t="shared" si="16"/>
        <v>2229025.42</v>
      </c>
      <c r="T33" s="34"/>
      <c r="U33" s="34">
        <f t="shared" si="17"/>
        <v>15.833199434579527</v>
      </c>
    </row>
    <row r="34" spans="1:21" hidden="1" outlineLevel="2">
      <c r="A34" s="22"/>
      <c r="B34" s="28">
        <v>3210</v>
      </c>
      <c r="C34" s="29" t="s">
        <v>27</v>
      </c>
      <c r="D34" s="5">
        <f>-N(-9767101.04)</f>
        <v>9767101.0399999991</v>
      </c>
      <c r="E34" s="30">
        <f>-N(-9624270)</f>
        <v>9624270</v>
      </c>
      <c r="F34" s="30">
        <f t="shared" si="10"/>
        <v>142831.03999999911</v>
      </c>
      <c r="G34" s="30"/>
      <c r="H34" s="31">
        <f t="shared" si="11"/>
        <v>1.4840714152865526</v>
      </c>
      <c r="I34" s="32">
        <f>-N(-11146240)</f>
        <v>11146240</v>
      </c>
      <c r="J34" s="30">
        <f t="shared" si="12"/>
        <v>-1379138.9600000009</v>
      </c>
      <c r="K34" s="30"/>
      <c r="L34" s="30">
        <f t="shared" si="13"/>
        <v>-12.373131746669737</v>
      </c>
      <c r="M34" s="5">
        <f>-N(-9767101.04)</f>
        <v>9767101.0399999991</v>
      </c>
      <c r="N34" s="30">
        <f>-N(-9624270)</f>
        <v>9624270</v>
      </c>
      <c r="O34" s="30">
        <f t="shared" si="14"/>
        <v>142831.03999999911</v>
      </c>
      <c r="P34" s="30"/>
      <c r="Q34" s="30">
        <f t="shared" si="15"/>
        <v>1.4840714152865526</v>
      </c>
      <c r="R34" s="32">
        <f>-N(-11146240)</f>
        <v>11146240</v>
      </c>
      <c r="S34" s="33">
        <f t="shared" si="16"/>
        <v>-1379138.9600000009</v>
      </c>
      <c r="T34" s="34"/>
      <c r="U34" s="34">
        <f t="shared" si="17"/>
        <v>-12.373131746669737</v>
      </c>
    </row>
    <row r="35" spans="1:21" hidden="1" outlineLevel="2">
      <c r="A35" s="22"/>
      <c r="B35" s="28">
        <v>3212</v>
      </c>
      <c r="C35" s="29" t="s">
        <v>28</v>
      </c>
      <c r="D35" s="5">
        <f>-N(-2584948.96)</f>
        <v>2584948.96</v>
      </c>
      <c r="E35" s="30">
        <f>-N(-2677500)</f>
        <v>2677500</v>
      </c>
      <c r="F35" s="30">
        <f t="shared" si="10"/>
        <v>-92551.040000000037</v>
      </c>
      <c r="G35" s="30"/>
      <c r="H35" s="31">
        <f t="shared" si="11"/>
        <v>-3.4566214752567705</v>
      </c>
      <c r="I35" s="32">
        <f>-N(-2786560)</f>
        <v>2786560</v>
      </c>
      <c r="J35" s="30">
        <f t="shared" si="12"/>
        <v>-201611.04000000004</v>
      </c>
      <c r="K35" s="30"/>
      <c r="L35" s="30">
        <f t="shared" si="13"/>
        <v>-7.2351228755167671</v>
      </c>
      <c r="M35" s="5">
        <f>-N(-2584948.96)</f>
        <v>2584948.96</v>
      </c>
      <c r="N35" s="30">
        <f>-N(-2677500)</f>
        <v>2677500</v>
      </c>
      <c r="O35" s="30">
        <f t="shared" si="14"/>
        <v>-92551.040000000037</v>
      </c>
      <c r="P35" s="30"/>
      <c r="Q35" s="30">
        <f t="shared" si="15"/>
        <v>-3.4566214752567705</v>
      </c>
      <c r="R35" s="32">
        <f>-N(-2786560)</f>
        <v>2786560</v>
      </c>
      <c r="S35" s="33">
        <f t="shared" si="16"/>
        <v>-201611.04000000004</v>
      </c>
      <c r="T35" s="34"/>
      <c r="U35" s="34">
        <f t="shared" si="17"/>
        <v>-7.2351228755167671</v>
      </c>
    </row>
    <row r="36" spans="1:21" hidden="1" outlineLevel="2">
      <c r="A36" s="22"/>
      <c r="B36" s="28">
        <v>3215</v>
      </c>
      <c r="C36" s="29" t="s">
        <v>73</v>
      </c>
      <c r="D36" s="5">
        <f>-N(0)</f>
        <v>0</v>
      </c>
      <c r="E36" s="30">
        <f>-N(1)</f>
        <v>-1</v>
      </c>
      <c r="F36" s="30">
        <f t="shared" si="10"/>
        <v>1</v>
      </c>
      <c r="G36" s="30"/>
      <c r="H36" s="31">
        <f t="shared" si="11"/>
        <v>-100</v>
      </c>
      <c r="I36" s="32">
        <f>-N(0)</f>
        <v>0</v>
      </c>
      <c r="J36" s="30">
        <f t="shared" si="12"/>
        <v>0</v>
      </c>
      <c r="K36" s="30"/>
      <c r="L36" s="30">
        <f t="shared" si="13"/>
        <v>0</v>
      </c>
      <c r="M36" s="5">
        <f>-N(0)</f>
        <v>0</v>
      </c>
      <c r="N36" s="30">
        <f>-N(1)</f>
        <v>-1</v>
      </c>
      <c r="O36" s="30">
        <f t="shared" si="14"/>
        <v>1</v>
      </c>
      <c r="P36" s="30"/>
      <c r="Q36" s="30">
        <f t="shared" si="15"/>
        <v>-100</v>
      </c>
      <c r="R36" s="32">
        <f>-N(0)</f>
        <v>0</v>
      </c>
      <c r="S36" s="33">
        <f t="shared" si="16"/>
        <v>0</v>
      </c>
      <c r="T36" s="34"/>
      <c r="U36" s="34">
        <f t="shared" si="17"/>
        <v>0</v>
      </c>
    </row>
    <row r="37" spans="1:21" hidden="1" outlineLevel="2">
      <c r="A37" s="22"/>
      <c r="B37" s="28">
        <v>3230</v>
      </c>
      <c r="C37" s="29" t="s">
        <v>74</v>
      </c>
      <c r="D37" s="5">
        <f>-N(-10028616.3)</f>
        <v>10028616.300000001</v>
      </c>
      <c r="E37" s="30">
        <f>-N(-9900000)</f>
        <v>9900000</v>
      </c>
      <c r="F37" s="30">
        <f t="shared" si="10"/>
        <v>128616.30000000075</v>
      </c>
      <c r="G37" s="30"/>
      <c r="H37" s="31">
        <f t="shared" si="11"/>
        <v>1.299154545454553</v>
      </c>
      <c r="I37" s="32">
        <f>-N(-8721552.21)</f>
        <v>8721552.2100000009</v>
      </c>
      <c r="J37" s="30">
        <f t="shared" si="12"/>
        <v>1307064.0899999999</v>
      </c>
      <c r="K37" s="30"/>
      <c r="L37" s="30">
        <f t="shared" si="13"/>
        <v>14.986599386532822</v>
      </c>
      <c r="M37" s="5">
        <f>-N(-10028616.3)</f>
        <v>10028616.300000001</v>
      </c>
      <c r="N37" s="30">
        <f>-N(-9900000)</f>
        <v>9900000</v>
      </c>
      <c r="O37" s="30">
        <f t="shared" si="14"/>
        <v>128616.30000000075</v>
      </c>
      <c r="P37" s="30"/>
      <c r="Q37" s="30">
        <f t="shared" si="15"/>
        <v>1.299154545454553</v>
      </c>
      <c r="R37" s="32">
        <f>-N(-8721552.21)</f>
        <v>8721552.2100000009</v>
      </c>
      <c r="S37" s="33">
        <f t="shared" si="16"/>
        <v>1307064.0899999999</v>
      </c>
      <c r="T37" s="34"/>
      <c r="U37" s="34">
        <f t="shared" si="17"/>
        <v>14.986599386532822</v>
      </c>
    </row>
    <row r="38" spans="1:21" hidden="1" outlineLevel="1" collapsed="1">
      <c r="A38" s="22"/>
      <c r="B38" s="35" t="str">
        <f>"    "&amp;"Tilskudd frikirkens menigheter"</f>
        <v xml:space="preserve">    Tilskudd frikirkens menigheter</v>
      </c>
      <c r="C38" s="36"/>
      <c r="D38" s="37">
        <f>SUM(D34:D37)</f>
        <v>22380666.300000001</v>
      </c>
      <c r="E38" s="33">
        <f>SUM(E34:E37)</f>
        <v>22201769</v>
      </c>
      <c r="F38" s="33">
        <f t="shared" si="10"/>
        <v>178897.30000000075</v>
      </c>
      <c r="G38" s="33"/>
      <c r="H38" s="38">
        <f t="shared" si="11"/>
        <v>0.80577948540947686</v>
      </c>
      <c r="I38" s="39">
        <f>SUM(I34:I37)</f>
        <v>22654352.210000001</v>
      </c>
      <c r="J38" s="33">
        <f t="shared" si="12"/>
        <v>-273685.91000000015</v>
      </c>
      <c r="K38" s="33"/>
      <c r="L38" s="40">
        <f t="shared" si="13"/>
        <v>-1.2080941775028584</v>
      </c>
      <c r="M38" s="37">
        <f>SUM(M34:M37)</f>
        <v>22380666.300000001</v>
      </c>
      <c r="N38" s="33">
        <f>SUM(N34:N37)</f>
        <v>22201769</v>
      </c>
      <c r="O38" s="33">
        <f t="shared" si="14"/>
        <v>178897.30000000075</v>
      </c>
      <c r="P38" s="33"/>
      <c r="Q38" s="33">
        <f t="shared" si="15"/>
        <v>0.80577948540947686</v>
      </c>
      <c r="R38" s="39">
        <f>SUM(R34:R37)</f>
        <v>22654352.210000001</v>
      </c>
      <c r="S38" s="33">
        <f t="shared" si="16"/>
        <v>-273685.91000000015</v>
      </c>
      <c r="T38" s="34"/>
      <c r="U38" s="34">
        <f t="shared" si="17"/>
        <v>-1.2080941775028584</v>
      </c>
    </row>
    <row r="39" spans="1:21" hidden="1" outlineLevel="2">
      <c r="A39" s="22"/>
      <c r="B39" s="28">
        <v>3211</v>
      </c>
      <c r="C39" s="29" t="s">
        <v>76</v>
      </c>
      <c r="D39" s="5">
        <f>-N(-125000)</f>
        <v>125000</v>
      </c>
      <c r="E39" s="30">
        <f>-N(-125000)</f>
        <v>125000</v>
      </c>
      <c r="F39" s="30">
        <f t="shared" si="10"/>
        <v>0</v>
      </c>
      <c r="G39" s="30"/>
      <c r="H39" s="31">
        <f t="shared" si="11"/>
        <v>0</v>
      </c>
      <c r="I39" s="32">
        <f>-N(-125000)</f>
        <v>125000</v>
      </c>
      <c r="J39" s="30">
        <f t="shared" si="12"/>
        <v>0</v>
      </c>
      <c r="K39" s="30"/>
      <c r="L39" s="30">
        <f t="shared" si="13"/>
        <v>0</v>
      </c>
      <c r="M39" s="5">
        <f>-N(-125000)</f>
        <v>125000</v>
      </c>
      <c r="N39" s="30">
        <f>-N(-125000)</f>
        <v>125000</v>
      </c>
      <c r="O39" s="30">
        <f t="shared" si="14"/>
        <v>0</v>
      </c>
      <c r="P39" s="30"/>
      <c r="Q39" s="30">
        <f t="shared" si="15"/>
        <v>0</v>
      </c>
      <c r="R39" s="32">
        <f>-N(-125000)</f>
        <v>125000</v>
      </c>
      <c r="S39" s="33">
        <f t="shared" si="16"/>
        <v>0</v>
      </c>
      <c r="T39" s="34"/>
      <c r="U39" s="34">
        <f t="shared" si="17"/>
        <v>0</v>
      </c>
    </row>
    <row r="40" spans="1:21" hidden="1" outlineLevel="2">
      <c r="A40" s="22"/>
      <c r="B40" s="28">
        <v>3455</v>
      </c>
      <c r="C40" s="29" t="s">
        <v>77</v>
      </c>
      <c r="D40" s="5">
        <f>-N(-1459028)</f>
        <v>1459028</v>
      </c>
      <c r="E40" s="30">
        <f>-N(-1250000)</f>
        <v>1250000</v>
      </c>
      <c r="F40" s="30">
        <f t="shared" si="10"/>
        <v>209028</v>
      </c>
      <c r="G40" s="30"/>
      <c r="H40" s="31">
        <f t="shared" si="11"/>
        <v>16.722239999999999</v>
      </c>
      <c r="I40" s="32">
        <f>-N(-1179831)</f>
        <v>1179831</v>
      </c>
      <c r="J40" s="30">
        <f t="shared" si="12"/>
        <v>279197</v>
      </c>
      <c r="K40" s="30"/>
      <c r="L40" s="30">
        <f t="shared" si="13"/>
        <v>23.664151899721233</v>
      </c>
      <c r="M40" s="5">
        <f>-N(-1459028)</f>
        <v>1459028</v>
      </c>
      <c r="N40" s="30">
        <f>-N(-1250000)</f>
        <v>1250000</v>
      </c>
      <c r="O40" s="30">
        <f t="shared" si="14"/>
        <v>209028</v>
      </c>
      <c r="P40" s="30"/>
      <c r="Q40" s="30">
        <f t="shared" si="15"/>
        <v>16.722239999999999</v>
      </c>
      <c r="R40" s="32">
        <f>-N(-1179831)</f>
        <v>1179831</v>
      </c>
      <c r="S40" s="33">
        <f t="shared" si="16"/>
        <v>279197</v>
      </c>
      <c r="T40" s="34"/>
      <c r="U40" s="34">
        <f t="shared" si="17"/>
        <v>23.664151899721233</v>
      </c>
    </row>
    <row r="41" spans="1:21" hidden="1" outlineLevel="2">
      <c r="A41" s="22"/>
      <c r="B41" s="28">
        <v>3600</v>
      </c>
      <c r="C41" s="29" t="s">
        <v>78</v>
      </c>
      <c r="D41" s="5">
        <f>-N(-418207.33)</f>
        <v>418207.33</v>
      </c>
      <c r="E41" s="30">
        <f>-N(-427300)</f>
        <v>427300</v>
      </c>
      <c r="F41" s="30">
        <f t="shared" si="10"/>
        <v>-9092.6699999999837</v>
      </c>
      <c r="G41" s="30"/>
      <c r="H41" s="31">
        <f t="shared" si="11"/>
        <v>-2.1279358764334155</v>
      </c>
      <c r="I41" s="32">
        <f>-N(-432885.11)</f>
        <v>432885.11</v>
      </c>
      <c r="J41" s="30">
        <f t="shared" si="12"/>
        <v>-14677.77999999997</v>
      </c>
      <c r="K41" s="30"/>
      <c r="L41" s="30">
        <f t="shared" si="13"/>
        <v>-3.390687196424929</v>
      </c>
      <c r="M41" s="5">
        <f>-N(-418207.33)</f>
        <v>418207.33</v>
      </c>
      <c r="N41" s="30">
        <f>-N(-427300)</f>
        <v>427300</v>
      </c>
      <c r="O41" s="30">
        <f t="shared" si="14"/>
        <v>-9092.6699999999837</v>
      </c>
      <c r="P41" s="30"/>
      <c r="Q41" s="30">
        <f t="shared" si="15"/>
        <v>-2.1279358764334155</v>
      </c>
      <c r="R41" s="32">
        <f>-N(-432885.11)</f>
        <v>432885.11</v>
      </c>
      <c r="S41" s="33">
        <f t="shared" si="16"/>
        <v>-14677.77999999997</v>
      </c>
      <c r="T41" s="34"/>
      <c r="U41" s="34">
        <f t="shared" si="17"/>
        <v>-3.390687196424929</v>
      </c>
    </row>
    <row r="42" spans="1:21" hidden="1" outlineLevel="2">
      <c r="A42" s="22"/>
      <c r="B42" s="28">
        <v>3900</v>
      </c>
      <c r="C42" s="29" t="s">
        <v>79</v>
      </c>
      <c r="D42" s="5">
        <f>-N(-251648.75)</f>
        <v>251648.75</v>
      </c>
      <c r="E42" s="30">
        <f>-N(0)</f>
        <v>0</v>
      </c>
      <c r="F42" s="30">
        <f t="shared" si="10"/>
        <v>251648.75</v>
      </c>
      <c r="G42" s="30"/>
      <c r="H42" s="31">
        <f t="shared" si="11"/>
        <v>0</v>
      </c>
      <c r="I42" s="32">
        <f>-N(-71118)</f>
        <v>71118</v>
      </c>
      <c r="J42" s="30">
        <f t="shared" si="12"/>
        <v>180530.75</v>
      </c>
      <c r="K42" s="30"/>
      <c r="L42" s="30">
        <f t="shared" si="13"/>
        <v>253.8467757810962</v>
      </c>
      <c r="M42" s="5">
        <f>-N(-251648.75)</f>
        <v>251648.75</v>
      </c>
      <c r="N42" s="30">
        <f>-N(0)</f>
        <v>0</v>
      </c>
      <c r="O42" s="30">
        <f t="shared" si="14"/>
        <v>251648.75</v>
      </c>
      <c r="P42" s="30"/>
      <c r="Q42" s="30">
        <f t="shared" si="15"/>
        <v>0</v>
      </c>
      <c r="R42" s="32">
        <f>-N(-71118)</f>
        <v>71118</v>
      </c>
      <c r="S42" s="33">
        <f t="shared" si="16"/>
        <v>180530.75</v>
      </c>
      <c r="T42" s="34"/>
      <c r="U42" s="34">
        <f t="shared" si="17"/>
        <v>253.8467757810962</v>
      </c>
    </row>
    <row r="43" spans="1:21" hidden="1" outlineLevel="1" collapsed="1">
      <c r="A43" s="22"/>
      <c r="B43" s="35" t="str">
        <f>"    "&amp;"Annen driftsrelatert inntekt"</f>
        <v xml:space="preserve">    Annen driftsrelatert inntekt</v>
      </c>
      <c r="C43" s="36"/>
      <c r="D43" s="37">
        <f>SUM(D39:D42)</f>
        <v>2253884.08</v>
      </c>
      <c r="E43" s="33">
        <f>SUM(E39:E42)</f>
        <v>1802300</v>
      </c>
      <c r="F43" s="33">
        <f>D43-E43</f>
        <v>451584.08000000007</v>
      </c>
      <c r="G43" s="33"/>
      <c r="H43" s="38">
        <f>IF(E43=0,0,F43*100/E43)</f>
        <v>25.055988459191038</v>
      </c>
      <c r="I43" s="39">
        <f>SUM(I39:I42)</f>
        <v>1808834.1099999999</v>
      </c>
      <c r="J43" s="33">
        <f>D43-I43</f>
        <v>445049.9700000002</v>
      </c>
      <c r="K43" s="33"/>
      <c r="L43" s="40">
        <f>IF(I43=0,0,J43*100/I43)</f>
        <v>24.604244664536996</v>
      </c>
      <c r="M43" s="37">
        <f>SUM(M39:M42)</f>
        <v>2253884.08</v>
      </c>
      <c r="N43" s="33">
        <f>SUM(N39:N42)</f>
        <v>1802300</v>
      </c>
      <c r="O43" s="33">
        <f>M43-N43</f>
        <v>451584.08000000007</v>
      </c>
      <c r="P43" s="33"/>
      <c r="Q43" s="33">
        <f>IF(N43=0,0,O43*100/N43)</f>
        <v>25.055988459191038</v>
      </c>
      <c r="R43" s="39">
        <f>SUM(R39:R42)</f>
        <v>1808834.1099999999</v>
      </c>
      <c r="S43" s="33">
        <f>M43-R43</f>
        <v>445049.9700000002</v>
      </c>
      <c r="T43" s="34"/>
      <c r="U43" s="34">
        <f>IF(R43=0,0,S43*100/R43)</f>
        <v>24.604244664536996</v>
      </c>
    </row>
    <row r="44" spans="1:21" collapsed="1">
      <c r="A44" s="22"/>
      <c r="B44" s="41" t="s">
        <v>80</v>
      </c>
      <c r="C44" s="42"/>
      <c r="D44" s="43">
        <f>SUM(D33,D38,D43)</f>
        <v>40941750.140000001</v>
      </c>
      <c r="E44" s="44">
        <f>SUM(E33,E38,E43)</f>
        <v>40251859</v>
      </c>
      <c r="F44" s="44">
        <f>D44-E44</f>
        <v>689891.1400000006</v>
      </c>
      <c r="G44" s="44"/>
      <c r="H44" s="45">
        <f>IF(E44=0,0,F44*100/E44)</f>
        <v>1.713936094231078</v>
      </c>
      <c r="I44" s="46">
        <f>SUM(I33,I38,I43)</f>
        <v>38541360.659999996</v>
      </c>
      <c r="J44" s="44">
        <f>D44-I44</f>
        <v>2400389.4800000042</v>
      </c>
      <c r="K44" s="44"/>
      <c r="L44" s="44">
        <f>IF(I44=0,0,J44*100/I44)</f>
        <v>6.2280870184514248</v>
      </c>
      <c r="M44" s="43">
        <f>SUM(M33,M38,M43)</f>
        <v>40941750.140000001</v>
      </c>
      <c r="N44" s="44">
        <f>SUM(N33,N38,N43)</f>
        <v>40251859</v>
      </c>
      <c r="O44" s="44">
        <f>M44-N44</f>
        <v>689891.1400000006</v>
      </c>
      <c r="P44" s="44"/>
      <c r="Q44" s="44">
        <f>IF(N44=0,0,O44*100/N44)</f>
        <v>1.713936094231078</v>
      </c>
      <c r="R44" s="46">
        <f>SUM(R33,R38,R43)</f>
        <v>38541360.659999996</v>
      </c>
      <c r="S44" s="44">
        <f>M44-R44</f>
        <v>2400389.4800000042</v>
      </c>
      <c r="T44" s="47"/>
      <c r="U44" s="47">
        <f>IF(R44=0,0,S44*100/R44)</f>
        <v>6.2280870184514248</v>
      </c>
    </row>
    <row r="45" spans="1:21">
      <c r="A45" s="22"/>
      <c r="B45" s="48" t="s">
        <v>10</v>
      </c>
      <c r="C45" s="49"/>
      <c r="D45" s="50">
        <f>SUM(D22,D27,D44)</f>
        <v>43611995.509999998</v>
      </c>
      <c r="E45" s="51">
        <f>SUM(E22,E27,E44)</f>
        <v>42659059</v>
      </c>
      <c r="F45" s="51">
        <f>D45-E45</f>
        <v>952936.50999999791</v>
      </c>
      <c r="G45" s="51"/>
      <c r="H45" s="52">
        <f>IF(E45=0,0,F45*100/E45)</f>
        <v>2.2338432500351164</v>
      </c>
      <c r="I45" s="53">
        <f>SUM(I22,I27,I44)</f>
        <v>40970662.779999994</v>
      </c>
      <c r="J45" s="51">
        <f>D45-I45</f>
        <v>2641332.7300000042</v>
      </c>
      <c r="K45" s="51"/>
      <c r="L45" s="51">
        <f>IF(I45=0,0,J45*100/I45)</f>
        <v>6.4468879700168831</v>
      </c>
      <c r="M45" s="50">
        <f>SUM(M22,M27,M44)</f>
        <v>43611995.509999998</v>
      </c>
      <c r="N45" s="51">
        <f>SUM(N22,N27,N44)</f>
        <v>42659059</v>
      </c>
      <c r="O45" s="51">
        <f>M45-N45</f>
        <v>952936.50999999791</v>
      </c>
      <c r="P45" s="51"/>
      <c r="Q45" s="51">
        <f>IF(N45=0,0,O45*100/N45)</f>
        <v>2.2338432500351164</v>
      </c>
      <c r="R45" s="53">
        <f>SUM(R22,R27,R44)</f>
        <v>40970662.779999994</v>
      </c>
      <c r="S45" s="51">
        <f>M45-R45</f>
        <v>2641332.7300000042</v>
      </c>
      <c r="T45" s="54"/>
      <c r="U45" s="54">
        <f>IF(R45=0,0,S45*100/R45)</f>
        <v>6.4468879700168831</v>
      </c>
    </row>
    <row r="46" spans="1:21" ht="9" customHeight="1">
      <c r="A46" s="22"/>
      <c r="B46" s="23"/>
      <c r="C46" s="24"/>
      <c r="D46" s="27"/>
      <c r="H46" s="55"/>
      <c r="I46" s="56"/>
      <c r="M46" s="27"/>
      <c r="R46" s="56"/>
      <c r="T46" s="24"/>
      <c r="U46" s="24"/>
    </row>
    <row r="47" spans="1:21" hidden="1" outlineLevel="2">
      <c r="A47" s="22"/>
      <c r="B47" s="28">
        <v>4301</v>
      </c>
      <c r="C47" s="29" t="s">
        <v>81</v>
      </c>
      <c r="D47" s="5">
        <f>N(26419.37)</f>
        <v>26419.37</v>
      </c>
      <c r="E47" s="30">
        <f>N(0.02)</f>
        <v>0.02</v>
      </c>
      <c r="F47" s="30">
        <f t="shared" ref="F47:F110" si="18">-D47+E47</f>
        <v>-26419.35</v>
      </c>
      <c r="G47" s="30"/>
      <c r="H47" s="31">
        <f t="shared" ref="H47:H110" si="19">IF(E47=0,0,F47*100/E47)</f>
        <v>-132096750</v>
      </c>
      <c r="I47" s="32">
        <f>N(321.94)</f>
        <v>321.94</v>
      </c>
      <c r="J47" s="30">
        <f t="shared" ref="J47:J110" si="20">-D47+I47</f>
        <v>-26097.43</v>
      </c>
      <c r="K47" s="30"/>
      <c r="L47" s="30">
        <f t="shared" ref="L47:L110" si="21">IF(I47=0,0,J47*100/I47)</f>
        <v>-8106.3024165993666</v>
      </c>
      <c r="M47" s="5">
        <f>N(26419.37)</f>
        <v>26419.37</v>
      </c>
      <c r="N47" s="30">
        <f>N(0.02)</f>
        <v>0.02</v>
      </c>
      <c r="O47" s="30">
        <f t="shared" ref="O47:O110" si="22">-M47+N47</f>
        <v>-26419.35</v>
      </c>
      <c r="P47" s="30"/>
      <c r="Q47" s="30">
        <f t="shared" ref="Q47:Q110" si="23">IF(N47=0,0,O47*100/N47)</f>
        <v>-132096750</v>
      </c>
      <c r="R47" s="32">
        <f>N(321.94)</f>
        <v>321.94</v>
      </c>
      <c r="S47" s="33">
        <f t="shared" ref="S47:S110" si="24">-M47+R47</f>
        <v>-26097.43</v>
      </c>
      <c r="T47" s="34"/>
      <c r="U47" s="34">
        <f t="shared" ref="U47:U110" si="25">IF(R47=0,0,S47*100/R47)</f>
        <v>-8106.3024165993666</v>
      </c>
    </row>
    <row r="48" spans="1:21" hidden="1" outlineLevel="2">
      <c r="A48" s="22"/>
      <c r="B48" s="28">
        <v>4305</v>
      </c>
      <c r="C48" s="29" t="s">
        <v>82</v>
      </c>
      <c r="D48" s="5">
        <f>N(0)</f>
        <v>0</v>
      </c>
      <c r="E48" s="30">
        <f>N(0)</f>
        <v>0</v>
      </c>
      <c r="F48" s="30">
        <f t="shared" si="18"/>
        <v>0</v>
      </c>
      <c r="G48" s="30"/>
      <c r="H48" s="31">
        <f t="shared" si="19"/>
        <v>0</v>
      </c>
      <c r="I48" s="32">
        <f>N(24682.16)</f>
        <v>24682.16</v>
      </c>
      <c r="J48" s="30">
        <f t="shared" si="20"/>
        <v>24682.16</v>
      </c>
      <c r="K48" s="30"/>
      <c r="L48" s="30">
        <f t="shared" si="21"/>
        <v>100</v>
      </c>
      <c r="M48" s="5">
        <f>N(0)</f>
        <v>0</v>
      </c>
      <c r="N48" s="30">
        <f>N(0)</f>
        <v>0</v>
      </c>
      <c r="O48" s="30">
        <f t="shared" si="22"/>
        <v>0</v>
      </c>
      <c r="P48" s="30"/>
      <c r="Q48" s="30">
        <f t="shared" si="23"/>
        <v>0</v>
      </c>
      <c r="R48" s="32">
        <f>N(24682.16)</f>
        <v>24682.16</v>
      </c>
      <c r="S48" s="33">
        <f t="shared" si="24"/>
        <v>24682.16</v>
      </c>
      <c r="T48" s="34"/>
      <c r="U48" s="34">
        <f t="shared" si="25"/>
        <v>100</v>
      </c>
    </row>
    <row r="49" spans="1:21" hidden="1" outlineLevel="2">
      <c r="A49" s="22"/>
      <c r="B49" s="28">
        <v>4360</v>
      </c>
      <c r="C49" s="29" t="s">
        <v>83</v>
      </c>
      <c r="D49" s="5">
        <f>N(0)</f>
        <v>0</v>
      </c>
      <c r="E49" s="30">
        <f>N(0)</f>
        <v>0</v>
      </c>
      <c r="F49" s="30">
        <f t="shared" si="18"/>
        <v>0</v>
      </c>
      <c r="G49" s="30"/>
      <c r="H49" s="31">
        <f t="shared" si="19"/>
        <v>0</v>
      </c>
      <c r="I49" s="32">
        <f>N(15334.79)</f>
        <v>15334.79</v>
      </c>
      <c r="J49" s="30">
        <f t="shared" si="20"/>
        <v>15334.79</v>
      </c>
      <c r="K49" s="30"/>
      <c r="L49" s="30">
        <f t="shared" si="21"/>
        <v>100</v>
      </c>
      <c r="M49" s="5">
        <f>N(0)</f>
        <v>0</v>
      </c>
      <c r="N49" s="30">
        <f>N(0)</f>
        <v>0</v>
      </c>
      <c r="O49" s="30">
        <f t="shared" si="22"/>
        <v>0</v>
      </c>
      <c r="P49" s="30"/>
      <c r="Q49" s="30">
        <f t="shared" si="23"/>
        <v>0</v>
      </c>
      <c r="R49" s="32">
        <f>N(15334.79)</f>
        <v>15334.79</v>
      </c>
      <c r="S49" s="33">
        <f t="shared" si="24"/>
        <v>15334.79</v>
      </c>
      <c r="T49" s="34"/>
      <c r="U49" s="34">
        <f t="shared" si="25"/>
        <v>100</v>
      </c>
    </row>
    <row r="50" spans="1:21" hidden="1" outlineLevel="1" collapsed="1">
      <c r="A50" s="22"/>
      <c r="B50" s="35" t="str">
        <f>"    "&amp;"Forbruk av innkjøpte varer for videresalg"</f>
        <v xml:space="preserve">    Forbruk av innkjøpte varer for videresalg</v>
      </c>
      <c r="C50" s="36"/>
      <c r="D50" s="37">
        <f>SUM(D47:D49)</f>
        <v>26419.37</v>
      </c>
      <c r="E50" s="33">
        <f>SUM(E47:E49)</f>
        <v>0.02</v>
      </c>
      <c r="F50" s="33">
        <f t="shared" si="18"/>
        <v>-26419.35</v>
      </c>
      <c r="G50" s="33"/>
      <c r="H50" s="38">
        <f t="shared" si="19"/>
        <v>-132096750</v>
      </c>
      <c r="I50" s="39">
        <f>SUM(I47:I49)</f>
        <v>40338.89</v>
      </c>
      <c r="J50" s="33">
        <f t="shared" si="20"/>
        <v>13919.52</v>
      </c>
      <c r="K50" s="33"/>
      <c r="L50" s="33">
        <f t="shared" si="21"/>
        <v>34.506452706061076</v>
      </c>
      <c r="M50" s="37">
        <f>SUM(M47:M49)</f>
        <v>26419.37</v>
      </c>
      <c r="N50" s="33">
        <f>SUM(N47:N49)</f>
        <v>0.02</v>
      </c>
      <c r="O50" s="33">
        <f t="shared" si="22"/>
        <v>-26419.35</v>
      </c>
      <c r="P50" s="33"/>
      <c r="Q50" s="33">
        <f t="shared" si="23"/>
        <v>-132096750</v>
      </c>
      <c r="R50" s="39">
        <f>SUM(R47:R49)</f>
        <v>40338.89</v>
      </c>
      <c r="S50" s="33">
        <f t="shared" si="24"/>
        <v>13919.52</v>
      </c>
      <c r="T50" s="34"/>
      <c r="U50" s="34">
        <f t="shared" si="25"/>
        <v>34.506452706061076</v>
      </c>
    </row>
    <row r="51" spans="1:21" collapsed="1">
      <c r="A51" s="22"/>
      <c r="B51" s="41" t="s">
        <v>16</v>
      </c>
      <c r="C51" s="42"/>
      <c r="D51" s="43">
        <f>SUM(D50)</f>
        <v>26419.37</v>
      </c>
      <c r="E51" s="44">
        <f>SUM(E50)</f>
        <v>0.02</v>
      </c>
      <c r="F51" s="44">
        <f t="shared" si="18"/>
        <v>-26419.35</v>
      </c>
      <c r="G51" s="44"/>
      <c r="H51" s="45">
        <f t="shared" si="19"/>
        <v>-132096750</v>
      </c>
      <c r="I51" s="46">
        <f>SUM(I50)</f>
        <v>40338.89</v>
      </c>
      <c r="J51" s="44">
        <f t="shared" si="20"/>
        <v>13919.52</v>
      </c>
      <c r="K51" s="44"/>
      <c r="L51" s="44">
        <f t="shared" si="21"/>
        <v>34.506452706061076</v>
      </c>
      <c r="M51" s="43">
        <f>SUM(M50)</f>
        <v>26419.37</v>
      </c>
      <c r="N51" s="44">
        <f>SUM(N50)</f>
        <v>0.02</v>
      </c>
      <c r="O51" s="44">
        <f t="shared" si="22"/>
        <v>-26419.35</v>
      </c>
      <c r="P51" s="44"/>
      <c r="Q51" s="44">
        <f t="shared" si="23"/>
        <v>-132096750</v>
      </c>
      <c r="R51" s="46">
        <f>SUM(R50)</f>
        <v>40338.89</v>
      </c>
      <c r="S51" s="44">
        <f t="shared" si="24"/>
        <v>13919.52</v>
      </c>
      <c r="T51" s="47"/>
      <c r="U51" s="47">
        <f t="shared" si="25"/>
        <v>34.506452706061076</v>
      </c>
    </row>
    <row r="52" spans="1:21" hidden="1" outlineLevel="2">
      <c r="A52" s="22"/>
      <c r="B52" s="28">
        <v>5000</v>
      </c>
      <c r="C52" s="29" t="s">
        <v>84</v>
      </c>
      <c r="D52" s="5">
        <f>N(8627235.78)</f>
        <v>8627235.7799999993</v>
      </c>
      <c r="E52" s="30">
        <f>N(10668104.266789)</f>
        <v>10668104.266789</v>
      </c>
      <c r="F52" s="30">
        <f t="shared" si="18"/>
        <v>2040868.4867890012</v>
      </c>
      <c r="G52" s="30"/>
      <c r="H52" s="31">
        <f t="shared" si="19"/>
        <v>19.130563741699195</v>
      </c>
      <c r="I52" s="32">
        <f>N(9192864.71)</f>
        <v>9192864.7100000009</v>
      </c>
      <c r="J52" s="30">
        <f t="shared" si="20"/>
        <v>565628.93000000156</v>
      </c>
      <c r="K52" s="30"/>
      <c r="L52" s="30">
        <f t="shared" si="21"/>
        <v>6.1529125886592269</v>
      </c>
      <c r="M52" s="5">
        <f>N(8627235.78)</f>
        <v>8627235.7799999993</v>
      </c>
      <c r="N52" s="30">
        <f>N(10668104.266789)</f>
        <v>10668104.266789</v>
      </c>
      <c r="O52" s="30">
        <f t="shared" si="22"/>
        <v>2040868.4867890012</v>
      </c>
      <c r="P52" s="30"/>
      <c r="Q52" s="30">
        <f t="shared" si="23"/>
        <v>19.130563741699195</v>
      </c>
      <c r="R52" s="32">
        <f>N(9192864.71)</f>
        <v>9192864.7100000009</v>
      </c>
      <c r="S52" s="33">
        <f t="shared" si="24"/>
        <v>565628.93000000156</v>
      </c>
      <c r="T52" s="34"/>
      <c r="U52" s="34">
        <f t="shared" si="25"/>
        <v>6.1529125886592269</v>
      </c>
    </row>
    <row r="53" spans="1:21" hidden="1" outlineLevel="2">
      <c r="A53" s="22"/>
      <c r="B53" s="28">
        <v>5001</v>
      </c>
      <c r="C53" s="29" t="s">
        <v>85</v>
      </c>
      <c r="D53" s="5">
        <f>N(104238)</f>
        <v>104238</v>
      </c>
      <c r="E53" s="30">
        <f>N(0)</f>
        <v>0</v>
      </c>
      <c r="F53" s="30">
        <f t="shared" si="18"/>
        <v>-104238</v>
      </c>
      <c r="G53" s="30"/>
      <c r="H53" s="31">
        <f t="shared" si="19"/>
        <v>0</v>
      </c>
      <c r="I53" s="32">
        <f>N(0)</f>
        <v>0</v>
      </c>
      <c r="J53" s="30">
        <f t="shared" si="20"/>
        <v>-104238</v>
      </c>
      <c r="K53" s="30"/>
      <c r="L53" s="30">
        <f t="shared" si="21"/>
        <v>0</v>
      </c>
      <c r="M53" s="5">
        <f>N(104238)</f>
        <v>104238</v>
      </c>
      <c r="N53" s="30">
        <f>N(0)</f>
        <v>0</v>
      </c>
      <c r="O53" s="30">
        <f t="shared" si="22"/>
        <v>-104238</v>
      </c>
      <c r="P53" s="30"/>
      <c r="Q53" s="30">
        <f t="shared" si="23"/>
        <v>0</v>
      </c>
      <c r="R53" s="32">
        <f>N(0)</f>
        <v>0</v>
      </c>
      <c r="S53" s="33">
        <f t="shared" si="24"/>
        <v>-104238</v>
      </c>
      <c r="T53" s="34"/>
      <c r="U53" s="34">
        <f t="shared" si="25"/>
        <v>0</v>
      </c>
    </row>
    <row r="54" spans="1:21" hidden="1" outlineLevel="2">
      <c r="A54" s="22"/>
      <c r="B54" s="28">
        <v>5002</v>
      </c>
      <c r="C54" s="29" t="s">
        <v>86</v>
      </c>
      <c r="D54" s="5">
        <f>N(2053305.05)</f>
        <v>2053305.05</v>
      </c>
      <c r="E54" s="30">
        <f>N(2107583.923966)</f>
        <v>2107583.9239659999</v>
      </c>
      <c r="F54" s="30">
        <f t="shared" si="18"/>
        <v>54278.87396599981</v>
      </c>
      <c r="G54" s="30"/>
      <c r="H54" s="31">
        <f t="shared" si="19"/>
        <v>2.5754074771959332</v>
      </c>
      <c r="I54" s="32">
        <f>N(2295820.15)</f>
        <v>2295820.15</v>
      </c>
      <c r="J54" s="30">
        <f t="shared" si="20"/>
        <v>242515.09999999986</v>
      </c>
      <c r="K54" s="30"/>
      <c r="L54" s="30">
        <f t="shared" si="21"/>
        <v>10.563331801055925</v>
      </c>
      <c r="M54" s="5">
        <f>N(2053305.05)</f>
        <v>2053305.05</v>
      </c>
      <c r="N54" s="30">
        <f>N(2107583.923966)</f>
        <v>2107583.9239659999</v>
      </c>
      <c r="O54" s="30">
        <f t="shared" si="22"/>
        <v>54278.87396599981</v>
      </c>
      <c r="P54" s="30"/>
      <c r="Q54" s="30">
        <f t="shared" si="23"/>
        <v>2.5754074771959332</v>
      </c>
      <c r="R54" s="32">
        <f>N(2295820.15)</f>
        <v>2295820.15</v>
      </c>
      <c r="S54" s="33">
        <f t="shared" si="24"/>
        <v>242515.09999999986</v>
      </c>
      <c r="T54" s="34"/>
      <c r="U54" s="34">
        <f t="shared" si="25"/>
        <v>10.563331801055925</v>
      </c>
    </row>
    <row r="55" spans="1:21" hidden="1" outlineLevel="2">
      <c r="A55" s="22"/>
      <c r="B55" s="28">
        <v>5006</v>
      </c>
      <c r="C55" s="29" t="s">
        <v>88</v>
      </c>
      <c r="D55" s="5">
        <f>N(0)</f>
        <v>0</v>
      </c>
      <c r="E55" s="30">
        <f>N(0)</f>
        <v>0</v>
      </c>
      <c r="F55" s="30">
        <f t="shared" si="18"/>
        <v>0</v>
      </c>
      <c r="G55" s="30"/>
      <c r="H55" s="31">
        <f t="shared" si="19"/>
        <v>0</v>
      </c>
      <c r="I55" s="32">
        <f>N(-83881.41)</f>
        <v>-83881.41</v>
      </c>
      <c r="J55" s="30">
        <f t="shared" si="20"/>
        <v>-83881.41</v>
      </c>
      <c r="K55" s="30"/>
      <c r="L55" s="30">
        <f t="shared" si="21"/>
        <v>100</v>
      </c>
      <c r="M55" s="5">
        <f>N(0)</f>
        <v>0</v>
      </c>
      <c r="N55" s="30">
        <f>N(0)</f>
        <v>0</v>
      </c>
      <c r="O55" s="30">
        <f t="shared" si="22"/>
        <v>0</v>
      </c>
      <c r="P55" s="30"/>
      <c r="Q55" s="30">
        <f t="shared" si="23"/>
        <v>0</v>
      </c>
      <c r="R55" s="32">
        <f>N(-83881.41)</f>
        <v>-83881.41</v>
      </c>
      <c r="S55" s="33">
        <f t="shared" si="24"/>
        <v>-83881.41</v>
      </c>
      <c r="T55" s="34"/>
      <c r="U55" s="34">
        <f t="shared" si="25"/>
        <v>100</v>
      </c>
    </row>
    <row r="56" spans="1:21" hidden="1" outlineLevel="2">
      <c r="A56" s="22"/>
      <c r="B56" s="28">
        <v>5007</v>
      </c>
      <c r="C56" s="29" t="s">
        <v>89</v>
      </c>
      <c r="D56" s="5">
        <f>N(108191.5)</f>
        <v>108191.5</v>
      </c>
      <c r="E56" s="30">
        <f>N(93125.5)</f>
        <v>93125.5</v>
      </c>
      <c r="F56" s="30">
        <f t="shared" si="18"/>
        <v>-15066</v>
      </c>
      <c r="G56" s="30"/>
      <c r="H56" s="31">
        <f t="shared" si="19"/>
        <v>-16.178168170909149</v>
      </c>
      <c r="I56" s="32">
        <f>N(349133.5)</f>
        <v>349133.5</v>
      </c>
      <c r="J56" s="30">
        <f t="shared" si="20"/>
        <v>240942</v>
      </c>
      <c r="K56" s="30"/>
      <c r="L56" s="30">
        <f t="shared" si="21"/>
        <v>69.011423996837891</v>
      </c>
      <c r="M56" s="5">
        <f>N(108191.5)</f>
        <v>108191.5</v>
      </c>
      <c r="N56" s="30">
        <f>N(93125.5)</f>
        <v>93125.5</v>
      </c>
      <c r="O56" s="30">
        <f t="shared" si="22"/>
        <v>-15066</v>
      </c>
      <c r="P56" s="30"/>
      <c r="Q56" s="30">
        <f t="shared" si="23"/>
        <v>-16.178168170909149</v>
      </c>
      <c r="R56" s="32">
        <f>N(349133.5)</f>
        <v>349133.5</v>
      </c>
      <c r="S56" s="33">
        <f t="shared" si="24"/>
        <v>240942</v>
      </c>
      <c r="T56" s="34"/>
      <c r="U56" s="34">
        <f t="shared" si="25"/>
        <v>69.011423996837891</v>
      </c>
    </row>
    <row r="57" spans="1:21" hidden="1" outlineLevel="2">
      <c r="A57" s="22"/>
      <c r="B57" s="28">
        <v>5008</v>
      </c>
      <c r="C57" s="29" t="s">
        <v>90</v>
      </c>
      <c r="D57" s="5">
        <f>N(0)</f>
        <v>0</v>
      </c>
      <c r="E57" s="30">
        <f>N(0)</f>
        <v>0</v>
      </c>
      <c r="F57" s="30">
        <f t="shared" si="18"/>
        <v>0</v>
      </c>
      <c r="G57" s="30"/>
      <c r="H57" s="31">
        <f t="shared" si="19"/>
        <v>0</v>
      </c>
      <c r="I57" s="32">
        <f>N(0)</f>
        <v>0</v>
      </c>
      <c r="J57" s="30">
        <f t="shared" si="20"/>
        <v>0</v>
      </c>
      <c r="K57" s="30"/>
      <c r="L57" s="30">
        <f t="shared" si="21"/>
        <v>0</v>
      </c>
      <c r="M57" s="5">
        <f>N(0)</f>
        <v>0</v>
      </c>
      <c r="N57" s="30">
        <f>N(0)</f>
        <v>0</v>
      </c>
      <c r="O57" s="30">
        <f t="shared" si="22"/>
        <v>0</v>
      </c>
      <c r="P57" s="30"/>
      <c r="Q57" s="30">
        <f t="shared" si="23"/>
        <v>0</v>
      </c>
      <c r="R57" s="32">
        <f>N(0)</f>
        <v>0</v>
      </c>
      <c r="S57" s="33">
        <f t="shared" si="24"/>
        <v>0</v>
      </c>
      <c r="T57" s="34"/>
      <c r="U57" s="34">
        <f t="shared" si="25"/>
        <v>0</v>
      </c>
    </row>
    <row r="58" spans="1:21" hidden="1" outlineLevel="2">
      <c r="A58" s="22"/>
      <c r="B58" s="28">
        <v>5009</v>
      </c>
      <c r="C58" s="29" t="s">
        <v>91</v>
      </c>
      <c r="D58" s="5">
        <f>N(574820.71)</f>
        <v>574820.71</v>
      </c>
      <c r="E58" s="30">
        <f>N(0)</f>
        <v>0</v>
      </c>
      <c r="F58" s="30">
        <f t="shared" si="18"/>
        <v>-574820.71</v>
      </c>
      <c r="G58" s="30"/>
      <c r="H58" s="31">
        <f t="shared" si="19"/>
        <v>0</v>
      </c>
      <c r="I58" s="32">
        <f>N(186824.11)</f>
        <v>186824.11</v>
      </c>
      <c r="J58" s="30">
        <f t="shared" si="20"/>
        <v>-387996.6</v>
      </c>
      <c r="K58" s="30"/>
      <c r="L58" s="30">
        <f t="shared" si="21"/>
        <v>-207.68015434410475</v>
      </c>
      <c r="M58" s="5">
        <f>N(574820.71)</f>
        <v>574820.71</v>
      </c>
      <c r="N58" s="30">
        <f>N(0)</f>
        <v>0</v>
      </c>
      <c r="O58" s="30">
        <f t="shared" si="22"/>
        <v>-574820.71</v>
      </c>
      <c r="P58" s="30"/>
      <c r="Q58" s="30">
        <f t="shared" si="23"/>
        <v>0</v>
      </c>
      <c r="R58" s="32">
        <f>N(186824.11)</f>
        <v>186824.11</v>
      </c>
      <c r="S58" s="33">
        <f t="shared" si="24"/>
        <v>-387996.6</v>
      </c>
      <c r="T58" s="34"/>
      <c r="U58" s="34">
        <f t="shared" si="25"/>
        <v>-207.68015434410475</v>
      </c>
    </row>
    <row r="59" spans="1:21" hidden="1" outlineLevel="2">
      <c r="A59" s="22"/>
      <c r="B59" s="28">
        <v>5010</v>
      </c>
      <c r="C59" s="29" t="s">
        <v>92</v>
      </c>
      <c r="D59" s="5">
        <f>N(1480407.61)</f>
        <v>1480407.61</v>
      </c>
      <c r="E59" s="30">
        <f>N(1533082.617692)</f>
        <v>1533082.617692</v>
      </c>
      <c r="F59" s="30">
        <f t="shared" si="18"/>
        <v>52675.007691999897</v>
      </c>
      <c r="G59" s="30"/>
      <c r="H59" s="31">
        <f t="shared" si="19"/>
        <v>3.4358883914097338</v>
      </c>
      <c r="I59" s="32">
        <f>N(1485739.07)</f>
        <v>1485739.07</v>
      </c>
      <c r="J59" s="30">
        <f t="shared" si="20"/>
        <v>5331.4599999999627</v>
      </c>
      <c r="K59" s="30"/>
      <c r="L59" s="30">
        <f t="shared" si="21"/>
        <v>0.35884228312041105</v>
      </c>
      <c r="M59" s="5">
        <f>N(1480407.61)</f>
        <v>1480407.61</v>
      </c>
      <c r="N59" s="30">
        <f>N(1533082.617692)</f>
        <v>1533082.617692</v>
      </c>
      <c r="O59" s="30">
        <f t="shared" si="22"/>
        <v>52675.007691999897</v>
      </c>
      <c r="P59" s="30"/>
      <c r="Q59" s="30">
        <f t="shared" si="23"/>
        <v>3.4358883914097338</v>
      </c>
      <c r="R59" s="32">
        <f>N(1485739.07)</f>
        <v>1485739.07</v>
      </c>
      <c r="S59" s="33">
        <f t="shared" si="24"/>
        <v>5331.4599999999627</v>
      </c>
      <c r="T59" s="34"/>
      <c r="U59" s="34">
        <f t="shared" si="25"/>
        <v>0.35884228312041105</v>
      </c>
    </row>
    <row r="60" spans="1:21" hidden="1" outlineLevel="2">
      <c r="A60" s="22"/>
      <c r="B60" s="28">
        <v>5021</v>
      </c>
      <c r="C60" s="29" t="s">
        <v>93</v>
      </c>
      <c r="D60" s="5">
        <f>N(165864.86)</f>
        <v>165864.85999999999</v>
      </c>
      <c r="E60" s="30">
        <f>N(180000)</f>
        <v>180000</v>
      </c>
      <c r="F60" s="30">
        <f t="shared" si="18"/>
        <v>14135.140000000014</v>
      </c>
      <c r="G60" s="30"/>
      <c r="H60" s="31">
        <f t="shared" si="19"/>
        <v>7.8528555555555632</v>
      </c>
      <c r="I60" s="32">
        <f>N(178073)</f>
        <v>178073</v>
      </c>
      <c r="J60" s="30">
        <f t="shared" si="20"/>
        <v>12208.140000000014</v>
      </c>
      <c r="K60" s="30"/>
      <c r="L60" s="30">
        <f t="shared" si="21"/>
        <v>6.8556940131294546</v>
      </c>
      <c r="M60" s="5">
        <f>N(165864.86)</f>
        <v>165864.85999999999</v>
      </c>
      <c r="N60" s="30">
        <f>N(180000)</f>
        <v>180000</v>
      </c>
      <c r="O60" s="30">
        <f t="shared" si="22"/>
        <v>14135.140000000014</v>
      </c>
      <c r="P60" s="30"/>
      <c r="Q60" s="30">
        <f t="shared" si="23"/>
        <v>7.8528555555555632</v>
      </c>
      <c r="R60" s="32">
        <f>N(178073)</f>
        <v>178073</v>
      </c>
      <c r="S60" s="33">
        <f t="shared" si="24"/>
        <v>12208.140000000014</v>
      </c>
      <c r="T60" s="34"/>
      <c r="U60" s="34">
        <f t="shared" si="25"/>
        <v>6.8556940131294546</v>
      </c>
    </row>
    <row r="61" spans="1:21" hidden="1" outlineLevel="2">
      <c r="A61" s="22"/>
      <c r="B61" s="28">
        <v>5110</v>
      </c>
      <c r="C61" s="29" t="s">
        <v>94</v>
      </c>
      <c r="D61" s="5">
        <f t="shared" ref="D61:E66" si="26">N(0)</f>
        <v>0</v>
      </c>
      <c r="E61" s="30">
        <f t="shared" si="26"/>
        <v>0</v>
      </c>
      <c r="F61" s="30">
        <f t="shared" si="18"/>
        <v>0</v>
      </c>
      <c r="G61" s="30"/>
      <c r="H61" s="31">
        <f t="shared" si="19"/>
        <v>0</v>
      </c>
      <c r="I61" s="32">
        <f>N(0)</f>
        <v>0</v>
      </c>
      <c r="J61" s="30">
        <f t="shared" si="20"/>
        <v>0</v>
      </c>
      <c r="K61" s="30"/>
      <c r="L61" s="30">
        <f t="shared" si="21"/>
        <v>0</v>
      </c>
      <c r="M61" s="5">
        <f t="shared" ref="M61:N66" si="27">N(0)</f>
        <v>0</v>
      </c>
      <c r="N61" s="30">
        <f t="shared" si="27"/>
        <v>0</v>
      </c>
      <c r="O61" s="30">
        <f t="shared" si="22"/>
        <v>0</v>
      </c>
      <c r="P61" s="30"/>
      <c r="Q61" s="30">
        <f t="shared" si="23"/>
        <v>0</v>
      </c>
      <c r="R61" s="32">
        <f>N(0)</f>
        <v>0</v>
      </c>
      <c r="S61" s="33">
        <f t="shared" si="24"/>
        <v>0</v>
      </c>
      <c r="T61" s="34"/>
      <c r="U61" s="34">
        <f t="shared" si="25"/>
        <v>0</v>
      </c>
    </row>
    <row r="62" spans="1:21" hidden="1" outlineLevel="2">
      <c r="A62" s="22"/>
      <c r="B62" s="28">
        <v>5111</v>
      </c>
      <c r="C62" s="29" t="s">
        <v>95</v>
      </c>
      <c r="D62" s="5">
        <f>N(37070)</f>
        <v>37070</v>
      </c>
      <c r="E62" s="30">
        <f t="shared" si="26"/>
        <v>0</v>
      </c>
      <c r="F62" s="30">
        <f t="shared" si="18"/>
        <v>-37070</v>
      </c>
      <c r="G62" s="30"/>
      <c r="H62" s="31">
        <f t="shared" si="19"/>
        <v>0</v>
      </c>
      <c r="I62" s="32">
        <f>N(29860)</f>
        <v>29860</v>
      </c>
      <c r="J62" s="30">
        <f t="shared" si="20"/>
        <v>-7210</v>
      </c>
      <c r="K62" s="30"/>
      <c r="L62" s="30">
        <f t="shared" si="21"/>
        <v>-24.146014735432015</v>
      </c>
      <c r="M62" s="5">
        <f>N(37070)</f>
        <v>37070</v>
      </c>
      <c r="N62" s="30">
        <f t="shared" si="27"/>
        <v>0</v>
      </c>
      <c r="O62" s="30">
        <f t="shared" si="22"/>
        <v>-37070</v>
      </c>
      <c r="P62" s="30"/>
      <c r="Q62" s="30">
        <f t="shared" si="23"/>
        <v>0</v>
      </c>
      <c r="R62" s="32">
        <f>N(29860)</f>
        <v>29860</v>
      </c>
      <c r="S62" s="33">
        <f t="shared" si="24"/>
        <v>-7210</v>
      </c>
      <c r="T62" s="34"/>
      <c r="U62" s="34">
        <f t="shared" si="25"/>
        <v>-24.146014735432015</v>
      </c>
    </row>
    <row r="63" spans="1:21" hidden="1" outlineLevel="2">
      <c r="A63" s="22"/>
      <c r="B63" s="28">
        <v>5112</v>
      </c>
      <c r="C63" s="29" t="s">
        <v>96</v>
      </c>
      <c r="D63" s="5">
        <f>N(0)</f>
        <v>0</v>
      </c>
      <c r="E63" s="30">
        <f t="shared" si="26"/>
        <v>0</v>
      </c>
      <c r="F63" s="30">
        <f t="shared" si="18"/>
        <v>0</v>
      </c>
      <c r="G63" s="30"/>
      <c r="H63" s="31">
        <f t="shared" si="19"/>
        <v>0</v>
      </c>
      <c r="I63" s="32">
        <f>N(0)</f>
        <v>0</v>
      </c>
      <c r="J63" s="30">
        <f t="shared" si="20"/>
        <v>0</v>
      </c>
      <c r="K63" s="30"/>
      <c r="L63" s="30">
        <f t="shared" si="21"/>
        <v>0</v>
      </c>
      <c r="M63" s="5">
        <f>N(0)</f>
        <v>0</v>
      </c>
      <c r="N63" s="30">
        <f t="shared" si="27"/>
        <v>0</v>
      </c>
      <c r="O63" s="30">
        <f t="shared" si="22"/>
        <v>0</v>
      </c>
      <c r="P63" s="30"/>
      <c r="Q63" s="30">
        <f t="shared" si="23"/>
        <v>0</v>
      </c>
      <c r="R63" s="32">
        <f>N(0)</f>
        <v>0</v>
      </c>
      <c r="S63" s="33">
        <f t="shared" si="24"/>
        <v>0</v>
      </c>
      <c r="T63" s="34"/>
      <c r="U63" s="34">
        <f t="shared" si="25"/>
        <v>0</v>
      </c>
    </row>
    <row r="64" spans="1:21" hidden="1" outlineLevel="2">
      <c r="A64" s="22"/>
      <c r="B64" s="28">
        <v>5113</v>
      </c>
      <c r="C64" s="29" t="s">
        <v>97</v>
      </c>
      <c r="D64" s="5">
        <f>N(0)</f>
        <v>0</v>
      </c>
      <c r="E64" s="30">
        <f t="shared" si="26"/>
        <v>0</v>
      </c>
      <c r="F64" s="30">
        <f t="shared" si="18"/>
        <v>0</v>
      </c>
      <c r="G64" s="30"/>
      <c r="H64" s="31">
        <f t="shared" si="19"/>
        <v>0</v>
      </c>
      <c r="I64" s="32">
        <f>N(51740)</f>
        <v>51740</v>
      </c>
      <c r="J64" s="30">
        <f t="shared" si="20"/>
        <v>51740</v>
      </c>
      <c r="K64" s="30"/>
      <c r="L64" s="30">
        <f t="shared" si="21"/>
        <v>100</v>
      </c>
      <c r="M64" s="5">
        <f>N(0)</f>
        <v>0</v>
      </c>
      <c r="N64" s="30">
        <f t="shared" si="27"/>
        <v>0</v>
      </c>
      <c r="O64" s="30">
        <f t="shared" si="22"/>
        <v>0</v>
      </c>
      <c r="P64" s="30"/>
      <c r="Q64" s="30">
        <f t="shared" si="23"/>
        <v>0</v>
      </c>
      <c r="R64" s="32">
        <f>N(51740)</f>
        <v>51740</v>
      </c>
      <c r="S64" s="33">
        <f t="shared" si="24"/>
        <v>51740</v>
      </c>
      <c r="T64" s="34"/>
      <c r="U64" s="34">
        <f t="shared" si="25"/>
        <v>100</v>
      </c>
    </row>
    <row r="65" spans="1:21" hidden="1" outlineLevel="2">
      <c r="A65" s="22"/>
      <c r="B65" s="28">
        <v>5114</v>
      </c>
      <c r="C65" s="29" t="s">
        <v>98</v>
      </c>
      <c r="D65" s="5">
        <f>N(33065)</f>
        <v>33065</v>
      </c>
      <c r="E65" s="30">
        <f t="shared" si="26"/>
        <v>0</v>
      </c>
      <c r="F65" s="30">
        <f t="shared" si="18"/>
        <v>-33065</v>
      </c>
      <c r="G65" s="30"/>
      <c r="H65" s="31">
        <f t="shared" si="19"/>
        <v>0</v>
      </c>
      <c r="I65" s="32">
        <f>N(0)</f>
        <v>0</v>
      </c>
      <c r="J65" s="30">
        <f t="shared" si="20"/>
        <v>-33065</v>
      </c>
      <c r="K65" s="30"/>
      <c r="L65" s="30">
        <f t="shared" si="21"/>
        <v>0</v>
      </c>
      <c r="M65" s="5">
        <f>N(33065)</f>
        <v>33065</v>
      </c>
      <c r="N65" s="30">
        <f t="shared" si="27"/>
        <v>0</v>
      </c>
      <c r="O65" s="30">
        <f t="shared" si="22"/>
        <v>-33065</v>
      </c>
      <c r="P65" s="30"/>
      <c r="Q65" s="30">
        <f t="shared" si="23"/>
        <v>0</v>
      </c>
      <c r="R65" s="32">
        <f>N(0)</f>
        <v>0</v>
      </c>
      <c r="S65" s="33">
        <f t="shared" si="24"/>
        <v>-33065</v>
      </c>
      <c r="T65" s="34"/>
      <c r="U65" s="34">
        <f t="shared" si="25"/>
        <v>0</v>
      </c>
    </row>
    <row r="66" spans="1:21" hidden="1" outlineLevel="2">
      <c r="A66" s="22"/>
      <c r="B66" s="28">
        <v>5190</v>
      </c>
      <c r="C66" s="29" t="s">
        <v>99</v>
      </c>
      <c r="D66" s="5">
        <f>N(726574)</f>
        <v>726574</v>
      </c>
      <c r="E66" s="30">
        <f t="shared" si="26"/>
        <v>0</v>
      </c>
      <c r="F66" s="30">
        <f t="shared" si="18"/>
        <v>-726574</v>
      </c>
      <c r="G66" s="30"/>
      <c r="H66" s="31">
        <f t="shared" si="19"/>
        <v>0</v>
      </c>
      <c r="I66" s="32">
        <f>N(148061)</f>
        <v>148061</v>
      </c>
      <c r="J66" s="30">
        <f t="shared" si="20"/>
        <v>-578513</v>
      </c>
      <c r="K66" s="30"/>
      <c r="L66" s="30">
        <f t="shared" si="21"/>
        <v>-390.72611963987816</v>
      </c>
      <c r="M66" s="5">
        <f>N(726574)</f>
        <v>726574</v>
      </c>
      <c r="N66" s="30">
        <f t="shared" si="27"/>
        <v>0</v>
      </c>
      <c r="O66" s="30">
        <f t="shared" si="22"/>
        <v>-726574</v>
      </c>
      <c r="P66" s="30"/>
      <c r="Q66" s="30">
        <f t="shared" si="23"/>
        <v>0</v>
      </c>
      <c r="R66" s="32">
        <f>N(148061)</f>
        <v>148061</v>
      </c>
      <c r="S66" s="33">
        <f t="shared" si="24"/>
        <v>-578513</v>
      </c>
      <c r="T66" s="34"/>
      <c r="U66" s="34">
        <f t="shared" si="25"/>
        <v>-390.72611963987816</v>
      </c>
    </row>
    <row r="67" spans="1:21" hidden="1" outlineLevel="1" collapsed="1">
      <c r="A67" s="22"/>
      <c r="B67" s="35" t="str">
        <f>"    "&amp;"Lønn til ansatte"</f>
        <v xml:space="preserve">    Lønn til ansatte</v>
      </c>
      <c r="C67" s="36"/>
      <c r="D67" s="37">
        <f>SUM(D52:D66)</f>
        <v>13910772.509999998</v>
      </c>
      <c r="E67" s="33">
        <f>SUM(E52:E66)</f>
        <v>14581896.308447</v>
      </c>
      <c r="F67" s="33">
        <f t="shared" si="18"/>
        <v>671123.79844700173</v>
      </c>
      <c r="G67" s="33"/>
      <c r="H67" s="38">
        <f t="shared" si="19"/>
        <v>4.6024452804415654</v>
      </c>
      <c r="I67" s="39">
        <f>SUM(I52:I66)</f>
        <v>13834234.130000001</v>
      </c>
      <c r="J67" s="33">
        <f t="shared" si="20"/>
        <v>-76538.379999997094</v>
      </c>
      <c r="K67" s="33"/>
      <c r="L67" s="33">
        <f t="shared" si="21"/>
        <v>-0.5532534673099182</v>
      </c>
      <c r="M67" s="37">
        <f>SUM(M52:M66)</f>
        <v>13910772.509999998</v>
      </c>
      <c r="N67" s="33">
        <f>SUM(N52:N66)</f>
        <v>14581896.308447</v>
      </c>
      <c r="O67" s="33">
        <f t="shared" si="22"/>
        <v>671123.79844700173</v>
      </c>
      <c r="P67" s="33"/>
      <c r="Q67" s="33">
        <f t="shared" si="23"/>
        <v>4.6024452804415654</v>
      </c>
      <c r="R67" s="39">
        <f>SUM(R52:R66)</f>
        <v>13834234.130000001</v>
      </c>
      <c r="S67" s="33">
        <f t="shared" si="24"/>
        <v>-76538.379999997094</v>
      </c>
      <c r="T67" s="34"/>
      <c r="U67" s="34">
        <f t="shared" si="25"/>
        <v>-0.5532534673099182</v>
      </c>
    </row>
    <row r="68" spans="1:21" hidden="1" outlineLevel="2">
      <c r="A68" s="22"/>
      <c r="B68" s="28">
        <v>5210</v>
      </c>
      <c r="C68" s="29" t="s">
        <v>100</v>
      </c>
      <c r="D68" s="5">
        <f>N(36671.42)</f>
        <v>36671.42</v>
      </c>
      <c r="E68" s="30">
        <f>N(39530.000004)</f>
        <v>39530.000004000001</v>
      </c>
      <c r="F68" s="30">
        <f t="shared" si="18"/>
        <v>2858.5800040000031</v>
      </c>
      <c r="G68" s="30"/>
      <c r="H68" s="31">
        <f t="shared" si="19"/>
        <v>7.2314191846970557</v>
      </c>
      <c r="I68" s="32">
        <f>N(51140)</f>
        <v>51140</v>
      </c>
      <c r="J68" s="30">
        <f t="shared" si="20"/>
        <v>14468.580000000002</v>
      </c>
      <c r="K68" s="30"/>
      <c r="L68" s="30">
        <f t="shared" si="21"/>
        <v>28.292100117324996</v>
      </c>
      <c r="M68" s="5">
        <f>N(36671.42)</f>
        <v>36671.42</v>
      </c>
      <c r="N68" s="30">
        <f>N(39530.000004)</f>
        <v>39530.000004000001</v>
      </c>
      <c r="O68" s="30">
        <f t="shared" si="22"/>
        <v>2858.5800040000031</v>
      </c>
      <c r="P68" s="30"/>
      <c r="Q68" s="30">
        <f t="shared" si="23"/>
        <v>7.2314191846970557</v>
      </c>
      <c r="R68" s="32">
        <f>N(51140)</f>
        <v>51140</v>
      </c>
      <c r="S68" s="33">
        <f t="shared" si="24"/>
        <v>14468.580000000002</v>
      </c>
      <c r="T68" s="34"/>
      <c r="U68" s="34">
        <f t="shared" si="25"/>
        <v>28.292100117324996</v>
      </c>
    </row>
    <row r="69" spans="1:21" hidden="1" outlineLevel="2">
      <c r="A69" s="22"/>
      <c r="B69" s="28">
        <v>5220</v>
      </c>
      <c r="C69" s="29" t="s">
        <v>101</v>
      </c>
      <c r="D69" s="5">
        <f>N(0)</f>
        <v>0</v>
      </c>
      <c r="E69" s="30">
        <f>N(0)</f>
        <v>0</v>
      </c>
      <c r="F69" s="30">
        <f t="shared" si="18"/>
        <v>0</v>
      </c>
      <c r="G69" s="30"/>
      <c r="H69" s="31">
        <f t="shared" si="19"/>
        <v>0</v>
      </c>
      <c r="I69" s="32">
        <f>N(0)</f>
        <v>0</v>
      </c>
      <c r="J69" s="30">
        <f t="shared" si="20"/>
        <v>0</v>
      </c>
      <c r="K69" s="30"/>
      <c r="L69" s="30">
        <f t="shared" si="21"/>
        <v>0</v>
      </c>
      <c r="M69" s="5">
        <f>N(0)</f>
        <v>0</v>
      </c>
      <c r="N69" s="30">
        <f>N(0)</f>
        <v>0</v>
      </c>
      <c r="O69" s="30">
        <f t="shared" si="22"/>
        <v>0</v>
      </c>
      <c r="P69" s="30"/>
      <c r="Q69" s="30">
        <f t="shared" si="23"/>
        <v>0</v>
      </c>
      <c r="R69" s="32">
        <f>N(0)</f>
        <v>0</v>
      </c>
      <c r="S69" s="33">
        <f t="shared" si="24"/>
        <v>0</v>
      </c>
      <c r="T69" s="34"/>
      <c r="U69" s="34">
        <f t="shared" si="25"/>
        <v>0</v>
      </c>
    </row>
    <row r="70" spans="1:21" hidden="1" outlineLevel="2">
      <c r="A70" s="22"/>
      <c r="B70" s="28">
        <v>5250</v>
      </c>
      <c r="C70" s="29" t="s">
        <v>102</v>
      </c>
      <c r="D70" s="5">
        <f>N(844.1)</f>
        <v>844.1</v>
      </c>
      <c r="E70" s="30">
        <f>N(2374.88)</f>
        <v>2374.88</v>
      </c>
      <c r="F70" s="30">
        <f t="shared" si="18"/>
        <v>1530.7800000000002</v>
      </c>
      <c r="G70" s="30"/>
      <c r="H70" s="31">
        <f t="shared" si="19"/>
        <v>64.457151519234671</v>
      </c>
      <c r="I70" s="32">
        <f>N(2424.91)</f>
        <v>2424.91</v>
      </c>
      <c r="J70" s="30">
        <f t="shared" si="20"/>
        <v>1580.81</v>
      </c>
      <c r="K70" s="30"/>
      <c r="L70" s="30">
        <f t="shared" si="21"/>
        <v>65.190460676891107</v>
      </c>
      <c r="M70" s="5">
        <f>N(844.1)</f>
        <v>844.1</v>
      </c>
      <c r="N70" s="30">
        <f>N(2374.88)</f>
        <v>2374.88</v>
      </c>
      <c r="O70" s="30">
        <f t="shared" si="22"/>
        <v>1530.7800000000002</v>
      </c>
      <c r="P70" s="30"/>
      <c r="Q70" s="30">
        <f t="shared" si="23"/>
        <v>64.457151519234671</v>
      </c>
      <c r="R70" s="32">
        <f>N(2424.91)</f>
        <v>2424.91</v>
      </c>
      <c r="S70" s="33">
        <f t="shared" si="24"/>
        <v>1580.81</v>
      </c>
      <c r="T70" s="34"/>
      <c r="U70" s="34">
        <f t="shared" si="25"/>
        <v>65.190460676891107</v>
      </c>
    </row>
    <row r="71" spans="1:21" hidden="1" outlineLevel="2">
      <c r="A71" s="22"/>
      <c r="B71" s="28">
        <v>5251</v>
      </c>
      <c r="C71" s="29" t="s">
        <v>103</v>
      </c>
      <c r="D71" s="5">
        <f>N(11201.18)</f>
        <v>11201.18</v>
      </c>
      <c r="E71" s="30">
        <f>N(48139.59)</f>
        <v>48139.59</v>
      </c>
      <c r="F71" s="30">
        <f t="shared" si="18"/>
        <v>36938.409999999996</v>
      </c>
      <c r="G71" s="30"/>
      <c r="H71" s="31">
        <f t="shared" si="19"/>
        <v>76.731874949495833</v>
      </c>
      <c r="I71" s="32">
        <f>N(44948.61)</f>
        <v>44948.61</v>
      </c>
      <c r="J71" s="30">
        <f t="shared" si="20"/>
        <v>33747.43</v>
      </c>
      <c r="K71" s="30"/>
      <c r="L71" s="30">
        <f t="shared" si="21"/>
        <v>75.08003028347261</v>
      </c>
      <c r="M71" s="5">
        <f>N(11201.18)</f>
        <v>11201.18</v>
      </c>
      <c r="N71" s="30">
        <f>N(48139.59)</f>
        <v>48139.59</v>
      </c>
      <c r="O71" s="30">
        <f t="shared" si="22"/>
        <v>36938.409999999996</v>
      </c>
      <c r="P71" s="30"/>
      <c r="Q71" s="30">
        <f t="shared" si="23"/>
        <v>76.731874949495833</v>
      </c>
      <c r="R71" s="32">
        <f>N(44948.61)</f>
        <v>44948.61</v>
      </c>
      <c r="S71" s="33">
        <f t="shared" si="24"/>
        <v>33747.43</v>
      </c>
      <c r="T71" s="34"/>
      <c r="U71" s="34">
        <f t="shared" si="25"/>
        <v>75.08003028347261</v>
      </c>
    </row>
    <row r="72" spans="1:21" hidden="1" outlineLevel="2">
      <c r="A72" s="22"/>
      <c r="B72" s="28">
        <v>5252</v>
      </c>
      <c r="C72" s="29" t="s">
        <v>104</v>
      </c>
      <c r="D72" s="5">
        <f>N(6029.84)</f>
        <v>6029.84</v>
      </c>
      <c r="E72" s="30">
        <f>N(16187.27)</f>
        <v>16187.27</v>
      </c>
      <c r="F72" s="30">
        <f t="shared" si="18"/>
        <v>10157.43</v>
      </c>
      <c r="G72" s="30"/>
      <c r="H72" s="31">
        <f t="shared" si="19"/>
        <v>62.749493892422869</v>
      </c>
      <c r="I72" s="32">
        <f>N(15649.62)</f>
        <v>15649.62</v>
      </c>
      <c r="J72" s="30">
        <f t="shared" si="20"/>
        <v>9619.7800000000007</v>
      </c>
      <c r="K72" s="30"/>
      <c r="L72" s="30">
        <f t="shared" si="21"/>
        <v>61.469735367376337</v>
      </c>
      <c r="M72" s="5">
        <f>N(6029.84)</f>
        <v>6029.84</v>
      </c>
      <c r="N72" s="30">
        <f>N(16187.27)</f>
        <v>16187.27</v>
      </c>
      <c r="O72" s="30">
        <f t="shared" si="22"/>
        <v>10157.43</v>
      </c>
      <c r="P72" s="30"/>
      <c r="Q72" s="30">
        <f t="shared" si="23"/>
        <v>62.749493892422869</v>
      </c>
      <c r="R72" s="32">
        <f>N(15649.62)</f>
        <v>15649.62</v>
      </c>
      <c r="S72" s="33">
        <f t="shared" si="24"/>
        <v>9619.7800000000007</v>
      </c>
      <c r="T72" s="34"/>
      <c r="U72" s="34">
        <f t="shared" si="25"/>
        <v>61.469735367376337</v>
      </c>
    </row>
    <row r="73" spans="1:21" hidden="1" outlineLevel="2">
      <c r="A73" s="22"/>
      <c r="B73" s="28">
        <v>5253</v>
      </c>
      <c r="C73" s="29" t="s">
        <v>105</v>
      </c>
      <c r="D73" s="5">
        <f>N(24712.16)</f>
        <v>24712.16</v>
      </c>
      <c r="E73" s="30">
        <f>N(66341.56)</f>
        <v>66341.56</v>
      </c>
      <c r="F73" s="30">
        <f t="shared" si="18"/>
        <v>41629.399999999994</v>
      </c>
      <c r="G73" s="30"/>
      <c r="H73" s="31">
        <f t="shared" si="19"/>
        <v>62.750107172638081</v>
      </c>
      <c r="I73" s="32">
        <f>N(62902.12)</f>
        <v>62902.12</v>
      </c>
      <c r="J73" s="30">
        <f t="shared" si="20"/>
        <v>38189.960000000006</v>
      </c>
      <c r="K73" s="30"/>
      <c r="L73" s="30">
        <f t="shared" si="21"/>
        <v>60.713311411443691</v>
      </c>
      <c r="M73" s="5">
        <f>N(24712.16)</f>
        <v>24712.16</v>
      </c>
      <c r="N73" s="30">
        <f>N(66341.56)</f>
        <v>66341.56</v>
      </c>
      <c r="O73" s="30">
        <f t="shared" si="22"/>
        <v>41629.399999999994</v>
      </c>
      <c r="P73" s="30"/>
      <c r="Q73" s="30">
        <f t="shared" si="23"/>
        <v>62.750107172638081</v>
      </c>
      <c r="R73" s="32">
        <f>N(62902.12)</f>
        <v>62902.12</v>
      </c>
      <c r="S73" s="33">
        <f t="shared" si="24"/>
        <v>38189.960000000006</v>
      </c>
      <c r="T73" s="34"/>
      <c r="U73" s="34">
        <f t="shared" si="25"/>
        <v>60.713311411443691</v>
      </c>
    </row>
    <row r="74" spans="1:21" hidden="1" outlineLevel="2">
      <c r="A74" s="22"/>
      <c r="B74" s="28">
        <v>5254</v>
      </c>
      <c r="C74" s="29" t="s">
        <v>106</v>
      </c>
      <c r="D74" s="5">
        <f>N(6720)</f>
        <v>6720</v>
      </c>
      <c r="E74" s="30">
        <f>N(16704)</f>
        <v>16704</v>
      </c>
      <c r="F74" s="30">
        <f t="shared" si="18"/>
        <v>9984</v>
      </c>
      <c r="G74" s="30"/>
      <c r="H74" s="31">
        <f t="shared" si="19"/>
        <v>59.770114942528735</v>
      </c>
      <c r="I74" s="32">
        <f>N(14793.75)</f>
        <v>14793.75</v>
      </c>
      <c r="J74" s="30">
        <f t="shared" si="20"/>
        <v>8073.75</v>
      </c>
      <c r="K74" s="30"/>
      <c r="L74" s="30">
        <f t="shared" si="21"/>
        <v>54.575411913814953</v>
      </c>
      <c r="M74" s="5">
        <f>N(6720)</f>
        <v>6720</v>
      </c>
      <c r="N74" s="30">
        <f>N(16704)</f>
        <v>16704</v>
      </c>
      <c r="O74" s="30">
        <f t="shared" si="22"/>
        <v>9984</v>
      </c>
      <c r="P74" s="30"/>
      <c r="Q74" s="30">
        <f t="shared" si="23"/>
        <v>59.770114942528735</v>
      </c>
      <c r="R74" s="32">
        <f>N(14793.75)</f>
        <v>14793.75</v>
      </c>
      <c r="S74" s="33">
        <f t="shared" si="24"/>
        <v>8073.75</v>
      </c>
      <c r="T74" s="34"/>
      <c r="U74" s="34">
        <f t="shared" si="25"/>
        <v>54.575411913814953</v>
      </c>
    </row>
    <row r="75" spans="1:21" hidden="1" outlineLevel="2">
      <c r="A75" s="22"/>
      <c r="B75" s="28">
        <v>5286</v>
      </c>
      <c r="C75" s="29" t="s">
        <v>109</v>
      </c>
      <c r="D75" s="5">
        <f>N(0)</f>
        <v>0</v>
      </c>
      <c r="E75" s="30">
        <f>N(0.01)</f>
        <v>0.01</v>
      </c>
      <c r="F75" s="30">
        <f t="shared" si="18"/>
        <v>0.01</v>
      </c>
      <c r="G75" s="30"/>
      <c r="H75" s="31">
        <f t="shared" si="19"/>
        <v>100</v>
      </c>
      <c r="I75" s="32">
        <f>N(11786.55)</f>
        <v>11786.55</v>
      </c>
      <c r="J75" s="30">
        <f t="shared" si="20"/>
        <v>11786.55</v>
      </c>
      <c r="K75" s="30"/>
      <c r="L75" s="30">
        <f t="shared" si="21"/>
        <v>100</v>
      </c>
      <c r="M75" s="5">
        <f>N(0)</f>
        <v>0</v>
      </c>
      <c r="N75" s="30">
        <f>N(0.01)</f>
        <v>0.01</v>
      </c>
      <c r="O75" s="30">
        <f t="shared" si="22"/>
        <v>0.01</v>
      </c>
      <c r="P75" s="30"/>
      <c r="Q75" s="30">
        <f t="shared" si="23"/>
        <v>100</v>
      </c>
      <c r="R75" s="32">
        <f>N(11786.55)</f>
        <v>11786.55</v>
      </c>
      <c r="S75" s="33">
        <f t="shared" si="24"/>
        <v>11786.55</v>
      </c>
      <c r="T75" s="34"/>
      <c r="U75" s="34">
        <f t="shared" si="25"/>
        <v>100</v>
      </c>
    </row>
    <row r="76" spans="1:21" hidden="1" outlineLevel="2">
      <c r="A76" s="22"/>
      <c r="B76" s="28">
        <v>5290</v>
      </c>
      <c r="C76" s="29" t="s">
        <v>110</v>
      </c>
      <c r="D76" s="5">
        <f>N(-292077.17)</f>
        <v>-292077.17</v>
      </c>
      <c r="E76" s="30">
        <f>N(-189277.300004)</f>
        <v>-189277.30000399999</v>
      </c>
      <c r="F76" s="30">
        <f t="shared" si="18"/>
        <v>102799.86999599999</v>
      </c>
      <c r="G76" s="30"/>
      <c r="H76" s="31">
        <f t="shared" si="19"/>
        <v>-54.311779592073385</v>
      </c>
      <c r="I76" s="32">
        <f>N(-934602.4)</f>
        <v>-934602.4</v>
      </c>
      <c r="J76" s="30">
        <f t="shared" si="20"/>
        <v>-642525.23</v>
      </c>
      <c r="K76" s="30"/>
      <c r="L76" s="30">
        <f t="shared" si="21"/>
        <v>68.748510596591657</v>
      </c>
      <c r="M76" s="5">
        <f>N(-292077.17)</f>
        <v>-292077.17</v>
      </c>
      <c r="N76" s="30">
        <f>N(-189277.300004)</f>
        <v>-189277.30000399999</v>
      </c>
      <c r="O76" s="30">
        <f t="shared" si="22"/>
        <v>102799.86999599999</v>
      </c>
      <c r="P76" s="30"/>
      <c r="Q76" s="30">
        <f t="shared" si="23"/>
        <v>-54.311779592073385</v>
      </c>
      <c r="R76" s="32">
        <f>N(-934602.4)</f>
        <v>-934602.4</v>
      </c>
      <c r="S76" s="33">
        <f t="shared" si="24"/>
        <v>-642525.23</v>
      </c>
      <c r="T76" s="34"/>
      <c r="U76" s="34">
        <f t="shared" si="25"/>
        <v>68.748510596591657</v>
      </c>
    </row>
    <row r="77" spans="1:21" hidden="1" outlineLevel="2">
      <c r="A77" s="22"/>
      <c r="B77" s="28">
        <v>5420</v>
      </c>
      <c r="C77" s="29" t="s">
        <v>111</v>
      </c>
      <c r="D77" s="5">
        <f>N(631038.68)</f>
        <v>631038.68000000005</v>
      </c>
      <c r="E77" s="30">
        <f>N(595920)</f>
        <v>595920</v>
      </c>
      <c r="F77" s="30">
        <f t="shared" si="18"/>
        <v>-35118.680000000051</v>
      </c>
      <c r="G77" s="30"/>
      <c r="H77" s="31">
        <f t="shared" si="19"/>
        <v>-5.8931870049671184</v>
      </c>
      <c r="I77" s="32">
        <f>N(742743.39)</f>
        <v>742743.39</v>
      </c>
      <c r="J77" s="30">
        <f t="shared" si="20"/>
        <v>111704.70999999996</v>
      </c>
      <c r="K77" s="30"/>
      <c r="L77" s="30">
        <f t="shared" si="21"/>
        <v>15.039475477526628</v>
      </c>
      <c r="M77" s="5">
        <f>N(631038.68)</f>
        <v>631038.68000000005</v>
      </c>
      <c r="N77" s="30">
        <f>N(595920)</f>
        <v>595920</v>
      </c>
      <c r="O77" s="30">
        <f t="shared" si="22"/>
        <v>-35118.680000000051</v>
      </c>
      <c r="P77" s="30"/>
      <c r="Q77" s="30">
        <f t="shared" si="23"/>
        <v>-5.8931870049671184</v>
      </c>
      <c r="R77" s="32">
        <f>N(742743.39)</f>
        <v>742743.39</v>
      </c>
      <c r="S77" s="33">
        <f t="shared" si="24"/>
        <v>111704.70999999996</v>
      </c>
      <c r="T77" s="34"/>
      <c r="U77" s="34">
        <f t="shared" si="25"/>
        <v>15.039475477526628</v>
      </c>
    </row>
    <row r="78" spans="1:21" hidden="1" outlineLevel="2">
      <c r="A78" s="22"/>
      <c r="B78" s="28">
        <v>5490</v>
      </c>
      <c r="C78" s="29" t="s">
        <v>112</v>
      </c>
      <c r="D78" s="5">
        <f>N(-425140.21)</f>
        <v>-425140.21</v>
      </c>
      <c r="E78" s="30">
        <f>N(-595920)</f>
        <v>-595920</v>
      </c>
      <c r="F78" s="30">
        <f t="shared" si="18"/>
        <v>-170779.78999999998</v>
      </c>
      <c r="G78" s="30"/>
      <c r="H78" s="31">
        <f t="shared" si="19"/>
        <v>28.658173915961868</v>
      </c>
      <c r="I78" s="32">
        <f>N(0)</f>
        <v>0</v>
      </c>
      <c r="J78" s="30">
        <f t="shared" si="20"/>
        <v>425140.21</v>
      </c>
      <c r="K78" s="30"/>
      <c r="L78" s="30">
        <f t="shared" si="21"/>
        <v>0</v>
      </c>
      <c r="M78" s="5">
        <f>N(-425140.21)</f>
        <v>-425140.21</v>
      </c>
      <c r="N78" s="30">
        <f>N(-595920)</f>
        <v>-595920</v>
      </c>
      <c r="O78" s="30">
        <f t="shared" si="22"/>
        <v>-170779.78999999998</v>
      </c>
      <c r="P78" s="30"/>
      <c r="Q78" s="30">
        <f t="shared" si="23"/>
        <v>28.658173915961868</v>
      </c>
      <c r="R78" s="32">
        <f>N(0)</f>
        <v>0</v>
      </c>
      <c r="S78" s="33">
        <f t="shared" si="24"/>
        <v>425140.21</v>
      </c>
      <c r="T78" s="34"/>
      <c r="U78" s="34">
        <f t="shared" si="25"/>
        <v>0</v>
      </c>
    </row>
    <row r="79" spans="1:21" hidden="1" outlineLevel="1" collapsed="1">
      <c r="A79" s="22"/>
      <c r="B79" s="35" t="str">
        <f>"    "&amp;"Fordel i arbeidsforhold"</f>
        <v xml:space="preserve">    Fordel i arbeidsforhold</v>
      </c>
      <c r="C79" s="36"/>
      <c r="D79" s="37">
        <f>SUM(D68:D78)</f>
        <v>0</v>
      </c>
      <c r="E79" s="33">
        <f>SUM(E68:E78)</f>
        <v>1.0000000009313226E-2</v>
      </c>
      <c r="F79" s="33">
        <f t="shared" si="18"/>
        <v>1.0000000009313226E-2</v>
      </c>
      <c r="G79" s="33"/>
      <c r="H79" s="38">
        <f t="shared" si="19"/>
        <v>100</v>
      </c>
      <c r="I79" s="39">
        <f>SUM(I68:I78)</f>
        <v>11786.54999999993</v>
      </c>
      <c r="J79" s="33">
        <f t="shared" si="20"/>
        <v>11786.54999999993</v>
      </c>
      <c r="K79" s="33"/>
      <c r="L79" s="33">
        <f t="shared" si="21"/>
        <v>100</v>
      </c>
      <c r="M79" s="37">
        <f>SUM(M68:M78)</f>
        <v>0</v>
      </c>
      <c r="N79" s="33">
        <f>SUM(N68:N78)</f>
        <v>1.0000000009313226E-2</v>
      </c>
      <c r="O79" s="33">
        <f t="shared" si="22"/>
        <v>1.0000000009313226E-2</v>
      </c>
      <c r="P79" s="33"/>
      <c r="Q79" s="33">
        <f t="shared" si="23"/>
        <v>100</v>
      </c>
      <c r="R79" s="39">
        <f>SUM(R68:R78)</f>
        <v>11786.54999999993</v>
      </c>
      <c r="S79" s="33">
        <f t="shared" si="24"/>
        <v>11786.54999999993</v>
      </c>
      <c r="T79" s="34"/>
      <c r="U79" s="34">
        <f t="shared" si="25"/>
        <v>100</v>
      </c>
    </row>
    <row r="80" spans="1:21" hidden="1" outlineLevel="2">
      <c r="A80" s="22"/>
      <c r="B80" s="28">
        <v>5312</v>
      </c>
      <c r="C80" s="29" t="s">
        <v>113</v>
      </c>
      <c r="D80" s="5">
        <f>N(197660.58)</f>
        <v>197660.58</v>
      </c>
      <c r="E80" s="30">
        <f>N(208793.86)</f>
        <v>208793.86</v>
      </c>
      <c r="F80" s="30">
        <f t="shared" si="18"/>
        <v>11133.279999999999</v>
      </c>
      <c r="G80" s="30"/>
      <c r="H80" s="31">
        <f t="shared" si="19"/>
        <v>5.3321874503397755</v>
      </c>
      <c r="I80" s="32">
        <f>N(161759.6)</f>
        <v>161759.6</v>
      </c>
      <c r="J80" s="30">
        <f t="shared" si="20"/>
        <v>-35900.979999999981</v>
      </c>
      <c r="K80" s="30"/>
      <c r="L80" s="30">
        <f t="shared" si="21"/>
        <v>-22.194033615315554</v>
      </c>
      <c r="M80" s="5">
        <f>N(197660.58)</f>
        <v>197660.58</v>
      </c>
      <c r="N80" s="30">
        <f>N(208793.86)</f>
        <v>208793.86</v>
      </c>
      <c r="O80" s="30">
        <f t="shared" si="22"/>
        <v>11133.279999999999</v>
      </c>
      <c r="P80" s="30"/>
      <c r="Q80" s="30">
        <f t="shared" si="23"/>
        <v>5.3321874503397755</v>
      </c>
      <c r="R80" s="32">
        <f>N(161759.6)</f>
        <v>161759.6</v>
      </c>
      <c r="S80" s="33">
        <f t="shared" si="24"/>
        <v>-35900.979999999981</v>
      </c>
      <c r="T80" s="34"/>
      <c r="U80" s="34">
        <f t="shared" si="25"/>
        <v>-22.194033615315554</v>
      </c>
    </row>
    <row r="81" spans="1:21" hidden="1" outlineLevel="2">
      <c r="A81" s="22"/>
      <c r="B81" s="28">
        <v>5326</v>
      </c>
      <c r="C81" s="29" t="s">
        <v>114</v>
      </c>
      <c r="D81" s="5">
        <f>N(121086)</f>
        <v>121086</v>
      </c>
      <c r="E81" s="30">
        <f>N(121374)</f>
        <v>121374</v>
      </c>
      <c r="F81" s="30">
        <f t="shared" si="18"/>
        <v>288</v>
      </c>
      <c r="G81" s="30"/>
      <c r="H81" s="31">
        <f t="shared" si="19"/>
        <v>0.23728310840872016</v>
      </c>
      <c r="I81" s="32">
        <f>N(119446)</f>
        <v>119446</v>
      </c>
      <c r="J81" s="30">
        <f t="shared" si="20"/>
        <v>-1640</v>
      </c>
      <c r="K81" s="30"/>
      <c r="L81" s="30">
        <f t="shared" si="21"/>
        <v>-1.3730053748137234</v>
      </c>
      <c r="M81" s="5">
        <f>N(121086)</f>
        <v>121086</v>
      </c>
      <c r="N81" s="30">
        <f>N(121374)</f>
        <v>121374</v>
      </c>
      <c r="O81" s="30">
        <f t="shared" si="22"/>
        <v>288</v>
      </c>
      <c r="P81" s="30"/>
      <c r="Q81" s="30">
        <f t="shared" si="23"/>
        <v>0.23728310840872016</v>
      </c>
      <c r="R81" s="32">
        <f>N(119446)</f>
        <v>119446</v>
      </c>
      <c r="S81" s="33">
        <f t="shared" si="24"/>
        <v>-1640</v>
      </c>
      <c r="T81" s="34"/>
      <c r="U81" s="34">
        <f t="shared" si="25"/>
        <v>-1.3730053748137234</v>
      </c>
    </row>
    <row r="82" spans="1:21" hidden="1" outlineLevel="2">
      <c r="A82" s="22"/>
      <c r="B82" s="28">
        <v>5391</v>
      </c>
      <c r="C82" s="29" t="s">
        <v>115</v>
      </c>
      <c r="D82" s="5">
        <f>N(48625)</f>
        <v>48625</v>
      </c>
      <c r="E82" s="30">
        <f>N(0)</f>
        <v>0</v>
      </c>
      <c r="F82" s="30">
        <f t="shared" si="18"/>
        <v>-48625</v>
      </c>
      <c r="G82" s="30"/>
      <c r="H82" s="31">
        <f t="shared" si="19"/>
        <v>0</v>
      </c>
      <c r="I82" s="32">
        <f>N(0)</f>
        <v>0</v>
      </c>
      <c r="J82" s="30">
        <f t="shared" si="20"/>
        <v>-48625</v>
      </c>
      <c r="K82" s="30"/>
      <c r="L82" s="30">
        <f t="shared" si="21"/>
        <v>0</v>
      </c>
      <c r="M82" s="5">
        <f>N(48625)</f>
        <v>48625</v>
      </c>
      <c r="N82" s="30">
        <f>N(0)</f>
        <v>0</v>
      </c>
      <c r="O82" s="30">
        <f t="shared" si="22"/>
        <v>-48625</v>
      </c>
      <c r="P82" s="30"/>
      <c r="Q82" s="30">
        <f t="shared" si="23"/>
        <v>0</v>
      </c>
      <c r="R82" s="32">
        <f>N(0)</f>
        <v>0</v>
      </c>
      <c r="S82" s="33">
        <f t="shared" si="24"/>
        <v>-48625</v>
      </c>
      <c r="T82" s="34"/>
      <c r="U82" s="34">
        <f t="shared" si="25"/>
        <v>0</v>
      </c>
    </row>
    <row r="83" spans="1:21" hidden="1" outlineLevel="1" collapsed="1">
      <c r="A83" s="22"/>
      <c r="B83" s="35" t="str">
        <f>"    "&amp;"Annen oppgavepliktig godtgjørelse"</f>
        <v xml:space="preserve">    Annen oppgavepliktig godtgjørelse</v>
      </c>
      <c r="C83" s="36"/>
      <c r="D83" s="37">
        <f>SUM(D80:D82)</f>
        <v>367371.57999999996</v>
      </c>
      <c r="E83" s="33">
        <f>SUM(E80:E82)</f>
        <v>330167.86</v>
      </c>
      <c r="F83" s="33">
        <f t="shared" si="18"/>
        <v>-37203.719999999972</v>
      </c>
      <c r="G83" s="33"/>
      <c r="H83" s="38">
        <f t="shared" si="19"/>
        <v>-11.268122826976549</v>
      </c>
      <c r="I83" s="39">
        <f>SUM(I80:I82)</f>
        <v>281205.59999999998</v>
      </c>
      <c r="J83" s="33">
        <f t="shared" si="20"/>
        <v>-86165.979999999981</v>
      </c>
      <c r="K83" s="33"/>
      <c r="L83" s="33">
        <f t="shared" si="21"/>
        <v>-30.641630180906777</v>
      </c>
      <c r="M83" s="37">
        <f>SUM(M80:M82)</f>
        <v>367371.57999999996</v>
      </c>
      <c r="N83" s="33">
        <f>SUM(N80:N82)</f>
        <v>330167.86</v>
      </c>
      <c r="O83" s="33">
        <f t="shared" si="22"/>
        <v>-37203.719999999972</v>
      </c>
      <c r="P83" s="33"/>
      <c r="Q83" s="33">
        <f t="shared" si="23"/>
        <v>-11.268122826976549</v>
      </c>
      <c r="R83" s="39">
        <f>SUM(R80:R82)</f>
        <v>281205.59999999998</v>
      </c>
      <c r="S83" s="33">
        <f t="shared" si="24"/>
        <v>-86165.979999999981</v>
      </c>
      <c r="T83" s="34"/>
      <c r="U83" s="34">
        <f t="shared" si="25"/>
        <v>-30.641630180906777</v>
      </c>
    </row>
    <row r="84" spans="1:21" hidden="1" outlineLevel="2">
      <c r="A84" s="22"/>
      <c r="B84" s="28">
        <v>5400</v>
      </c>
      <c r="C84" s="29" t="s">
        <v>116</v>
      </c>
      <c r="D84" s="5">
        <f>N(1418860.11)</f>
        <v>1418860.11</v>
      </c>
      <c r="E84" s="30">
        <f>N(1614915.596543)</f>
        <v>1614915.5965430001</v>
      </c>
      <c r="F84" s="30">
        <f t="shared" si="18"/>
        <v>196055.48654299998</v>
      </c>
      <c r="G84" s="30"/>
      <c r="H84" s="31">
        <f t="shared" si="19"/>
        <v>12.140293087929171</v>
      </c>
      <c r="I84" s="32">
        <f>N(1386424.09)</f>
        <v>1386424.09</v>
      </c>
      <c r="J84" s="30">
        <f t="shared" si="20"/>
        <v>-32436.020000000019</v>
      </c>
      <c r="K84" s="30"/>
      <c r="L84" s="30">
        <f t="shared" si="21"/>
        <v>-2.3395453262789179</v>
      </c>
      <c r="M84" s="5">
        <f>N(1418860.11)</f>
        <v>1418860.11</v>
      </c>
      <c r="N84" s="30">
        <f>N(1614915.596543)</f>
        <v>1614915.5965430001</v>
      </c>
      <c r="O84" s="30">
        <f t="shared" si="22"/>
        <v>196055.48654299998</v>
      </c>
      <c r="P84" s="30"/>
      <c r="Q84" s="30">
        <f t="shared" si="23"/>
        <v>12.140293087929171</v>
      </c>
      <c r="R84" s="32">
        <f>N(1386424.09)</f>
        <v>1386424.09</v>
      </c>
      <c r="S84" s="33">
        <f t="shared" si="24"/>
        <v>-32436.020000000019</v>
      </c>
      <c r="T84" s="34"/>
      <c r="U84" s="34">
        <f t="shared" si="25"/>
        <v>-2.3395453262789179</v>
      </c>
    </row>
    <row r="85" spans="1:21" hidden="1" outlineLevel="2">
      <c r="A85" s="22"/>
      <c r="B85" s="28">
        <v>5410</v>
      </c>
      <c r="C85" s="29" t="s">
        <v>117</v>
      </c>
      <c r="D85" s="5">
        <f>N(173547.75)</f>
        <v>173547.75</v>
      </c>
      <c r="E85" s="30">
        <f>N(180504.309548)</f>
        <v>180504.30954799999</v>
      </c>
      <c r="F85" s="30">
        <f t="shared" si="18"/>
        <v>6956.5595479999902</v>
      </c>
      <c r="G85" s="30"/>
      <c r="H85" s="31">
        <f t="shared" si="19"/>
        <v>3.8539575954833869</v>
      </c>
      <c r="I85" s="32">
        <f>N(166717.4)</f>
        <v>166717.4</v>
      </c>
      <c r="J85" s="30">
        <f t="shared" si="20"/>
        <v>-6830.3500000000058</v>
      </c>
      <c r="K85" s="30"/>
      <c r="L85" s="30">
        <f t="shared" si="21"/>
        <v>-4.0969628844979624</v>
      </c>
      <c r="M85" s="5">
        <f>N(173547.75)</f>
        <v>173547.75</v>
      </c>
      <c r="N85" s="30">
        <f>N(180504.309548)</f>
        <v>180504.30954799999</v>
      </c>
      <c r="O85" s="30">
        <f t="shared" si="22"/>
        <v>6956.5595479999902</v>
      </c>
      <c r="P85" s="30"/>
      <c r="Q85" s="30">
        <f t="shared" si="23"/>
        <v>3.8539575954833869</v>
      </c>
      <c r="R85" s="32">
        <f>N(166717.4)</f>
        <v>166717.4</v>
      </c>
      <c r="S85" s="33">
        <f t="shared" si="24"/>
        <v>-6830.3500000000058</v>
      </c>
      <c r="T85" s="34"/>
      <c r="U85" s="34">
        <f t="shared" si="25"/>
        <v>-4.0969628844979624</v>
      </c>
    </row>
    <row r="86" spans="1:21" hidden="1" outlineLevel="1" collapsed="1">
      <c r="A86" s="22"/>
      <c r="B86" s="35" t="str">
        <f>"    "&amp;"Arbeidsgiveravgift og pensjonskostnad"</f>
        <v xml:space="preserve">    Arbeidsgiveravgift og pensjonskostnad</v>
      </c>
      <c r="C86" s="36"/>
      <c r="D86" s="37">
        <f>SUM(D84:D85)</f>
        <v>1592407.86</v>
      </c>
      <c r="E86" s="33">
        <f>SUM(E84:E85)</f>
        <v>1795419.906091</v>
      </c>
      <c r="F86" s="33">
        <f t="shared" si="18"/>
        <v>203012.04609099985</v>
      </c>
      <c r="G86" s="33"/>
      <c r="H86" s="38">
        <f t="shared" si="19"/>
        <v>11.307218183460993</v>
      </c>
      <c r="I86" s="39">
        <f>SUM(I84:I85)</f>
        <v>1553141.49</v>
      </c>
      <c r="J86" s="33">
        <f t="shared" si="20"/>
        <v>-39266.370000000112</v>
      </c>
      <c r="K86" s="33"/>
      <c r="L86" s="33">
        <f t="shared" si="21"/>
        <v>-2.5281901393285238</v>
      </c>
      <c r="M86" s="37">
        <f>SUM(M84:M85)</f>
        <v>1592407.86</v>
      </c>
      <c r="N86" s="33">
        <f>SUM(N84:N85)</f>
        <v>1795419.906091</v>
      </c>
      <c r="O86" s="33">
        <f t="shared" si="22"/>
        <v>203012.04609099985</v>
      </c>
      <c r="P86" s="33"/>
      <c r="Q86" s="33">
        <f t="shared" si="23"/>
        <v>11.307218183460993</v>
      </c>
      <c r="R86" s="39">
        <f>SUM(R84:R85)</f>
        <v>1553141.49</v>
      </c>
      <c r="S86" s="33">
        <f t="shared" si="24"/>
        <v>-39266.370000000112</v>
      </c>
      <c r="T86" s="34"/>
      <c r="U86" s="34">
        <f t="shared" si="25"/>
        <v>-2.5281901393285238</v>
      </c>
    </row>
    <row r="87" spans="1:21" hidden="1" outlineLevel="2">
      <c r="A87" s="22"/>
      <c r="B87" s="28">
        <v>5800</v>
      </c>
      <c r="C87" s="29" t="s">
        <v>118</v>
      </c>
      <c r="D87" s="5">
        <f>N(-726574)</f>
        <v>-726574</v>
      </c>
      <c r="E87" s="30">
        <f>N(0)</f>
        <v>0</v>
      </c>
      <c r="F87" s="30">
        <f t="shared" si="18"/>
        <v>726574</v>
      </c>
      <c r="G87" s="30"/>
      <c r="H87" s="31">
        <f t="shared" si="19"/>
        <v>0</v>
      </c>
      <c r="I87" s="32">
        <f>N(-148061)</f>
        <v>-148061</v>
      </c>
      <c r="J87" s="30">
        <f t="shared" si="20"/>
        <v>578513</v>
      </c>
      <c r="K87" s="30"/>
      <c r="L87" s="30">
        <f t="shared" si="21"/>
        <v>-390.72611963987816</v>
      </c>
      <c r="M87" s="5">
        <f>N(-726574)</f>
        <v>-726574</v>
      </c>
      <c r="N87" s="30">
        <f>N(0)</f>
        <v>0</v>
      </c>
      <c r="O87" s="30">
        <f t="shared" si="22"/>
        <v>726574</v>
      </c>
      <c r="P87" s="30"/>
      <c r="Q87" s="30">
        <f t="shared" si="23"/>
        <v>0</v>
      </c>
      <c r="R87" s="32">
        <f>N(-148061)</f>
        <v>-148061</v>
      </c>
      <c r="S87" s="33">
        <f t="shared" si="24"/>
        <v>578513</v>
      </c>
      <c r="T87" s="34"/>
      <c r="U87" s="34">
        <f t="shared" si="25"/>
        <v>-390.72611963987816</v>
      </c>
    </row>
    <row r="88" spans="1:21" hidden="1" outlineLevel="2">
      <c r="A88" s="22"/>
      <c r="B88" s="28">
        <v>5802</v>
      </c>
      <c r="C88" s="29" t="s">
        <v>119</v>
      </c>
      <c r="D88" s="5">
        <f>N(-1272)</f>
        <v>-1272</v>
      </c>
      <c r="E88" s="30">
        <f>N(0)</f>
        <v>0</v>
      </c>
      <c r="F88" s="30">
        <f t="shared" si="18"/>
        <v>1272</v>
      </c>
      <c r="G88" s="30"/>
      <c r="H88" s="31">
        <f t="shared" si="19"/>
        <v>0</v>
      </c>
      <c r="I88" s="32">
        <f>N(0)</f>
        <v>0</v>
      </c>
      <c r="J88" s="30">
        <f t="shared" si="20"/>
        <v>1272</v>
      </c>
      <c r="K88" s="30"/>
      <c r="L88" s="30">
        <f t="shared" si="21"/>
        <v>0</v>
      </c>
      <c r="M88" s="5">
        <f>N(-1272)</f>
        <v>-1272</v>
      </c>
      <c r="N88" s="30">
        <f>N(0)</f>
        <v>0</v>
      </c>
      <c r="O88" s="30">
        <f t="shared" si="22"/>
        <v>1272</v>
      </c>
      <c r="P88" s="30"/>
      <c r="Q88" s="30">
        <f t="shared" si="23"/>
        <v>0</v>
      </c>
      <c r="R88" s="32">
        <f>N(0)</f>
        <v>0</v>
      </c>
      <c r="S88" s="33">
        <f t="shared" si="24"/>
        <v>1272</v>
      </c>
      <c r="T88" s="34"/>
      <c r="U88" s="34">
        <f t="shared" si="25"/>
        <v>0</v>
      </c>
    </row>
    <row r="89" spans="1:21" hidden="1" outlineLevel="1" collapsed="1">
      <c r="A89" s="22"/>
      <c r="B89" s="35" t="str">
        <f>"    "&amp;"Offentlig refusjon vedrørende arbeidskraft"</f>
        <v xml:space="preserve">    Offentlig refusjon vedrørende arbeidskraft</v>
      </c>
      <c r="C89" s="36"/>
      <c r="D89" s="37">
        <f>SUM(D87:D88)</f>
        <v>-727846</v>
      </c>
      <c r="E89" s="33">
        <f>SUM(E87:E88)</f>
        <v>0</v>
      </c>
      <c r="F89" s="33">
        <f t="shared" si="18"/>
        <v>727846</v>
      </c>
      <c r="G89" s="33"/>
      <c r="H89" s="38">
        <f t="shared" si="19"/>
        <v>0</v>
      </c>
      <c r="I89" s="39">
        <f>SUM(I87:I88)</f>
        <v>-148061</v>
      </c>
      <c r="J89" s="33">
        <f t="shared" si="20"/>
        <v>579785</v>
      </c>
      <c r="K89" s="33"/>
      <c r="L89" s="33">
        <f t="shared" si="21"/>
        <v>-391.5852250086113</v>
      </c>
      <c r="M89" s="37">
        <f>SUM(M87:M88)</f>
        <v>-727846</v>
      </c>
      <c r="N89" s="33">
        <f>SUM(N87:N88)</f>
        <v>0</v>
      </c>
      <c r="O89" s="33">
        <f t="shared" si="22"/>
        <v>727846</v>
      </c>
      <c r="P89" s="33"/>
      <c r="Q89" s="33">
        <f t="shared" si="23"/>
        <v>0</v>
      </c>
      <c r="R89" s="39">
        <f>SUM(R87:R88)</f>
        <v>-148061</v>
      </c>
      <c r="S89" s="33">
        <f t="shared" si="24"/>
        <v>579785</v>
      </c>
      <c r="T89" s="34"/>
      <c r="U89" s="34">
        <f t="shared" si="25"/>
        <v>-391.5852250086113</v>
      </c>
    </row>
    <row r="90" spans="1:21" hidden="1" outlineLevel="2">
      <c r="A90" s="22"/>
      <c r="B90" s="28">
        <v>5500</v>
      </c>
      <c r="C90" s="29" t="s">
        <v>121</v>
      </c>
      <c r="D90" s="5">
        <f>N(31777.06)</f>
        <v>31777.06</v>
      </c>
      <c r="E90" s="30">
        <f>N(0)</f>
        <v>0</v>
      </c>
      <c r="F90" s="30">
        <f t="shared" si="18"/>
        <v>-31777.06</v>
      </c>
      <c r="G90" s="30"/>
      <c r="H90" s="31">
        <f t="shared" si="19"/>
        <v>0</v>
      </c>
      <c r="I90" s="32">
        <f>N(4407)</f>
        <v>4407</v>
      </c>
      <c r="J90" s="30">
        <f t="shared" si="20"/>
        <v>-27370.06</v>
      </c>
      <c r="K90" s="30"/>
      <c r="L90" s="30">
        <f t="shared" si="21"/>
        <v>-621.05877013841621</v>
      </c>
      <c r="M90" s="5">
        <f>N(31777.06)</f>
        <v>31777.06</v>
      </c>
      <c r="N90" s="30">
        <f>N(0)</f>
        <v>0</v>
      </c>
      <c r="O90" s="30">
        <f t="shared" si="22"/>
        <v>-31777.06</v>
      </c>
      <c r="P90" s="30"/>
      <c r="Q90" s="30">
        <f t="shared" si="23"/>
        <v>0</v>
      </c>
      <c r="R90" s="32">
        <f>N(4407)</f>
        <v>4407</v>
      </c>
      <c r="S90" s="33">
        <f t="shared" si="24"/>
        <v>-27370.06</v>
      </c>
      <c r="T90" s="34"/>
      <c r="U90" s="34">
        <f t="shared" si="25"/>
        <v>-621.05877013841621</v>
      </c>
    </row>
    <row r="91" spans="1:21" hidden="1" outlineLevel="2">
      <c r="A91" s="22"/>
      <c r="B91" s="28">
        <v>5900</v>
      </c>
      <c r="C91" s="29" t="s">
        <v>122</v>
      </c>
      <c r="D91" s="5">
        <f>N(18620.9)</f>
        <v>18620.900000000001</v>
      </c>
      <c r="E91" s="30">
        <f>N(0.01)</f>
        <v>0.01</v>
      </c>
      <c r="F91" s="30">
        <f t="shared" si="18"/>
        <v>-18620.890000000003</v>
      </c>
      <c r="G91" s="30"/>
      <c r="H91" s="31">
        <f t="shared" si="19"/>
        <v>-186208900.00000003</v>
      </c>
      <c r="I91" s="32">
        <f>N(21756)</f>
        <v>21756</v>
      </c>
      <c r="J91" s="30">
        <f t="shared" si="20"/>
        <v>3135.0999999999985</v>
      </c>
      <c r="K91" s="30"/>
      <c r="L91" s="30">
        <f t="shared" si="21"/>
        <v>14.410277624563333</v>
      </c>
      <c r="M91" s="5">
        <f>N(18620.9)</f>
        <v>18620.900000000001</v>
      </c>
      <c r="N91" s="30">
        <f>N(0.01)</f>
        <v>0.01</v>
      </c>
      <c r="O91" s="30">
        <f t="shared" si="22"/>
        <v>-18620.890000000003</v>
      </c>
      <c r="P91" s="30"/>
      <c r="Q91" s="30">
        <f t="shared" si="23"/>
        <v>-186208900.00000003</v>
      </c>
      <c r="R91" s="32">
        <f>N(21756)</f>
        <v>21756</v>
      </c>
      <c r="S91" s="33">
        <f t="shared" si="24"/>
        <v>3135.0999999999985</v>
      </c>
      <c r="T91" s="34"/>
      <c r="U91" s="34">
        <f t="shared" si="25"/>
        <v>14.410277624563333</v>
      </c>
    </row>
    <row r="92" spans="1:21" hidden="1" outlineLevel="2">
      <c r="A92" s="22"/>
      <c r="B92" s="28">
        <v>5910</v>
      </c>
      <c r="C92" s="29" t="s">
        <v>109</v>
      </c>
      <c r="D92" s="5">
        <f>N(8320.28)</f>
        <v>8320.2800000000007</v>
      </c>
      <c r="E92" s="30">
        <f>N(0)</f>
        <v>0</v>
      </c>
      <c r="F92" s="30">
        <f t="shared" si="18"/>
        <v>-8320.2800000000007</v>
      </c>
      <c r="G92" s="30"/>
      <c r="H92" s="31">
        <f t="shared" si="19"/>
        <v>0</v>
      </c>
      <c r="I92" s="32">
        <f>N(0)</f>
        <v>0</v>
      </c>
      <c r="J92" s="30">
        <f t="shared" si="20"/>
        <v>-8320.2800000000007</v>
      </c>
      <c r="K92" s="30"/>
      <c r="L92" s="30">
        <f t="shared" si="21"/>
        <v>0</v>
      </c>
      <c r="M92" s="5">
        <f>N(8320.28)</f>
        <v>8320.2800000000007</v>
      </c>
      <c r="N92" s="30">
        <f>N(0)</f>
        <v>0</v>
      </c>
      <c r="O92" s="30">
        <f t="shared" si="22"/>
        <v>-8320.2800000000007</v>
      </c>
      <c r="P92" s="30"/>
      <c r="Q92" s="30">
        <f t="shared" si="23"/>
        <v>0</v>
      </c>
      <c r="R92" s="32">
        <f>N(0)</f>
        <v>0</v>
      </c>
      <c r="S92" s="33">
        <f t="shared" si="24"/>
        <v>-8320.2800000000007</v>
      </c>
      <c r="T92" s="34"/>
      <c r="U92" s="34">
        <f t="shared" si="25"/>
        <v>0</v>
      </c>
    </row>
    <row r="93" spans="1:21" hidden="1" outlineLevel="2">
      <c r="A93" s="22"/>
      <c r="B93" s="28">
        <v>5942</v>
      </c>
      <c r="C93" s="29" t="s">
        <v>123</v>
      </c>
      <c r="D93" s="5">
        <f>N(18138)</f>
        <v>18138</v>
      </c>
      <c r="E93" s="30">
        <f>N(0)</f>
        <v>0</v>
      </c>
      <c r="F93" s="30">
        <f t="shared" si="18"/>
        <v>-18138</v>
      </c>
      <c r="G93" s="30"/>
      <c r="H93" s="31">
        <f t="shared" si="19"/>
        <v>0</v>
      </c>
      <c r="I93" s="32">
        <f>N(-147653)</f>
        <v>-147653</v>
      </c>
      <c r="J93" s="30">
        <f t="shared" si="20"/>
        <v>-165791</v>
      </c>
      <c r="K93" s="30"/>
      <c r="L93" s="30">
        <f t="shared" si="21"/>
        <v>112.28420689047971</v>
      </c>
      <c r="M93" s="5">
        <f>N(18138)</f>
        <v>18138</v>
      </c>
      <c r="N93" s="30">
        <f>N(0)</f>
        <v>0</v>
      </c>
      <c r="O93" s="30">
        <f t="shared" si="22"/>
        <v>-18138</v>
      </c>
      <c r="P93" s="30"/>
      <c r="Q93" s="30">
        <f t="shared" si="23"/>
        <v>0</v>
      </c>
      <c r="R93" s="32">
        <f>N(-147653)</f>
        <v>-147653</v>
      </c>
      <c r="S93" s="33">
        <f t="shared" si="24"/>
        <v>-165791</v>
      </c>
      <c r="T93" s="34"/>
      <c r="U93" s="34">
        <f t="shared" si="25"/>
        <v>112.28420689047971</v>
      </c>
    </row>
    <row r="94" spans="1:21" hidden="1" outlineLevel="2">
      <c r="A94" s="22"/>
      <c r="B94" s="28">
        <v>5947</v>
      </c>
      <c r="C94" s="29" t="s">
        <v>124</v>
      </c>
      <c r="D94" s="5">
        <f>N(631038.68)</f>
        <v>631038.68000000005</v>
      </c>
      <c r="E94" s="30">
        <f>N(595931.68)</f>
        <v>595931.68000000005</v>
      </c>
      <c r="F94" s="30">
        <f t="shared" si="18"/>
        <v>-35107</v>
      </c>
      <c r="G94" s="30"/>
      <c r="H94" s="31">
        <f t="shared" si="19"/>
        <v>-5.8911115448670222</v>
      </c>
      <c r="I94" s="32">
        <f>N(742743.39)</f>
        <v>742743.39</v>
      </c>
      <c r="J94" s="30">
        <f t="shared" si="20"/>
        <v>111704.70999999996</v>
      </c>
      <c r="K94" s="30"/>
      <c r="L94" s="30">
        <f t="shared" si="21"/>
        <v>15.039475477526628</v>
      </c>
      <c r="M94" s="5">
        <f>N(631038.68)</f>
        <v>631038.68000000005</v>
      </c>
      <c r="N94" s="30">
        <f>N(595931.68)</f>
        <v>595931.68000000005</v>
      </c>
      <c r="O94" s="30">
        <f t="shared" si="22"/>
        <v>-35107</v>
      </c>
      <c r="P94" s="30"/>
      <c r="Q94" s="30">
        <f t="shared" si="23"/>
        <v>-5.8911115448670222</v>
      </c>
      <c r="R94" s="32">
        <f>N(742743.39)</f>
        <v>742743.39</v>
      </c>
      <c r="S94" s="33">
        <f t="shared" si="24"/>
        <v>111704.70999999996</v>
      </c>
      <c r="T94" s="34"/>
      <c r="U94" s="34">
        <f t="shared" si="25"/>
        <v>15.039475477526628</v>
      </c>
    </row>
    <row r="95" spans="1:21" hidden="1" outlineLevel="2">
      <c r="A95" s="22"/>
      <c r="B95" s="28">
        <v>5960</v>
      </c>
      <c r="C95" s="29" t="s">
        <v>125</v>
      </c>
      <c r="D95" s="5">
        <f>N(29386)</f>
        <v>29386</v>
      </c>
      <c r="E95" s="30">
        <f>N(0.01)</f>
        <v>0.01</v>
      </c>
      <c r="F95" s="30">
        <f t="shared" si="18"/>
        <v>-29385.99</v>
      </c>
      <c r="G95" s="30"/>
      <c r="H95" s="31">
        <f t="shared" si="19"/>
        <v>-293859900</v>
      </c>
      <c r="I95" s="32">
        <f>N(15325.02)</f>
        <v>15325.02</v>
      </c>
      <c r="J95" s="30">
        <f t="shared" si="20"/>
        <v>-14060.98</v>
      </c>
      <c r="K95" s="30"/>
      <c r="L95" s="30">
        <f t="shared" si="21"/>
        <v>-91.751788904680055</v>
      </c>
      <c r="M95" s="5">
        <f>N(29386)</f>
        <v>29386</v>
      </c>
      <c r="N95" s="30">
        <f>N(0.01)</f>
        <v>0.01</v>
      </c>
      <c r="O95" s="30">
        <f t="shared" si="22"/>
        <v>-29385.99</v>
      </c>
      <c r="P95" s="30"/>
      <c r="Q95" s="30">
        <f t="shared" si="23"/>
        <v>-293859900</v>
      </c>
      <c r="R95" s="32">
        <f>N(15325.02)</f>
        <v>15325.02</v>
      </c>
      <c r="S95" s="33">
        <f t="shared" si="24"/>
        <v>-14060.98</v>
      </c>
      <c r="T95" s="34"/>
      <c r="U95" s="34">
        <f t="shared" si="25"/>
        <v>-91.751788904680055</v>
      </c>
    </row>
    <row r="96" spans="1:21" hidden="1" outlineLevel="2">
      <c r="A96" s="22"/>
      <c r="B96" s="28">
        <v>5980</v>
      </c>
      <c r="C96" s="29" t="s">
        <v>126</v>
      </c>
      <c r="D96" s="5">
        <f>N(288686.07)</f>
        <v>288686.07</v>
      </c>
      <c r="E96" s="30">
        <f>N(0)</f>
        <v>0</v>
      </c>
      <c r="F96" s="30">
        <f t="shared" si="18"/>
        <v>-288686.07</v>
      </c>
      <c r="G96" s="30"/>
      <c r="H96" s="31">
        <f t="shared" si="19"/>
        <v>0</v>
      </c>
      <c r="I96" s="32">
        <f>N(0)</f>
        <v>0</v>
      </c>
      <c r="J96" s="30">
        <f t="shared" si="20"/>
        <v>-288686.07</v>
      </c>
      <c r="K96" s="30"/>
      <c r="L96" s="30">
        <f t="shared" si="21"/>
        <v>0</v>
      </c>
      <c r="M96" s="5">
        <f>N(288686.07)</f>
        <v>288686.07</v>
      </c>
      <c r="N96" s="30">
        <f>N(0)</f>
        <v>0</v>
      </c>
      <c r="O96" s="30">
        <f t="shared" si="22"/>
        <v>-288686.07</v>
      </c>
      <c r="P96" s="30"/>
      <c r="Q96" s="30">
        <f t="shared" si="23"/>
        <v>0</v>
      </c>
      <c r="R96" s="32">
        <f>N(0)</f>
        <v>0</v>
      </c>
      <c r="S96" s="33">
        <f t="shared" si="24"/>
        <v>-288686.07</v>
      </c>
      <c r="T96" s="34"/>
      <c r="U96" s="34">
        <f t="shared" si="25"/>
        <v>0</v>
      </c>
    </row>
    <row r="97" spans="1:21" hidden="1" outlineLevel="2">
      <c r="A97" s="22"/>
      <c r="B97" s="28">
        <v>5990</v>
      </c>
      <c r="C97" s="29" t="s">
        <v>127</v>
      </c>
      <c r="D97" s="5">
        <f>N(82388.81)</f>
        <v>82388.81</v>
      </c>
      <c r="E97" s="30">
        <f>N(10377.5)</f>
        <v>10377.5</v>
      </c>
      <c r="F97" s="30">
        <f t="shared" si="18"/>
        <v>-72011.31</v>
      </c>
      <c r="G97" s="30"/>
      <c r="H97" s="31">
        <f t="shared" si="19"/>
        <v>-693.91770657672851</v>
      </c>
      <c r="I97" s="32">
        <f>N(82967.14)</f>
        <v>82967.14</v>
      </c>
      <c r="J97" s="30">
        <f t="shared" si="20"/>
        <v>578.33000000000175</v>
      </c>
      <c r="K97" s="30"/>
      <c r="L97" s="30">
        <f t="shared" si="21"/>
        <v>0.69705910074759925</v>
      </c>
      <c r="M97" s="5">
        <f>N(82388.81)</f>
        <v>82388.81</v>
      </c>
      <c r="N97" s="30">
        <f>N(10377.5)</f>
        <v>10377.5</v>
      </c>
      <c r="O97" s="30">
        <f t="shared" si="22"/>
        <v>-72011.31</v>
      </c>
      <c r="P97" s="30"/>
      <c r="Q97" s="30">
        <f t="shared" si="23"/>
        <v>-693.91770657672851</v>
      </c>
      <c r="R97" s="32">
        <f>N(82967.14)</f>
        <v>82967.14</v>
      </c>
      <c r="S97" s="33">
        <f t="shared" si="24"/>
        <v>578.33000000000175</v>
      </c>
      <c r="T97" s="34"/>
      <c r="U97" s="34">
        <f t="shared" si="25"/>
        <v>0.69705910074759925</v>
      </c>
    </row>
    <row r="98" spans="1:21" hidden="1" outlineLevel="2">
      <c r="A98" s="22"/>
      <c r="B98" s="28">
        <v>5995</v>
      </c>
      <c r="C98" s="29" t="s">
        <v>128</v>
      </c>
      <c r="D98" s="5">
        <f>N(0.2)</f>
        <v>0.2</v>
      </c>
      <c r="E98" s="30">
        <f>N(1196)</f>
        <v>1196</v>
      </c>
      <c r="F98" s="30">
        <f t="shared" si="18"/>
        <v>1195.8</v>
      </c>
      <c r="G98" s="30"/>
      <c r="H98" s="31">
        <f t="shared" si="19"/>
        <v>99.983277591973248</v>
      </c>
      <c r="I98" s="32">
        <f>N(0)</f>
        <v>0</v>
      </c>
      <c r="J98" s="30">
        <f t="shared" si="20"/>
        <v>-0.2</v>
      </c>
      <c r="K98" s="30"/>
      <c r="L98" s="30">
        <f t="shared" si="21"/>
        <v>0</v>
      </c>
      <c r="M98" s="5">
        <f>N(0.2)</f>
        <v>0.2</v>
      </c>
      <c r="N98" s="30">
        <f>N(1196)</f>
        <v>1196</v>
      </c>
      <c r="O98" s="30">
        <f t="shared" si="22"/>
        <v>1195.8</v>
      </c>
      <c r="P98" s="30"/>
      <c r="Q98" s="30">
        <f t="shared" si="23"/>
        <v>99.983277591973248</v>
      </c>
      <c r="R98" s="32">
        <f>N(0)</f>
        <v>0</v>
      </c>
      <c r="S98" s="33">
        <f t="shared" si="24"/>
        <v>-0.2</v>
      </c>
      <c r="T98" s="34"/>
      <c r="U98" s="34">
        <f t="shared" si="25"/>
        <v>0</v>
      </c>
    </row>
    <row r="99" spans="1:21" hidden="1" outlineLevel="2">
      <c r="A99" s="22"/>
      <c r="B99" s="28">
        <v>5999</v>
      </c>
      <c r="C99" s="29" t="s">
        <v>129</v>
      </c>
      <c r="D99" s="5">
        <f>N(0)</f>
        <v>0</v>
      </c>
      <c r="E99" s="30">
        <f>N(0.01)</f>
        <v>0.01</v>
      </c>
      <c r="F99" s="30">
        <f t="shared" si="18"/>
        <v>0.01</v>
      </c>
      <c r="G99" s="30"/>
      <c r="H99" s="31">
        <f t="shared" si="19"/>
        <v>100</v>
      </c>
      <c r="I99" s="32">
        <f>N(0)</f>
        <v>0</v>
      </c>
      <c r="J99" s="30">
        <f t="shared" si="20"/>
        <v>0</v>
      </c>
      <c r="K99" s="30"/>
      <c r="L99" s="30">
        <f t="shared" si="21"/>
        <v>0</v>
      </c>
      <c r="M99" s="5">
        <f>N(0)</f>
        <v>0</v>
      </c>
      <c r="N99" s="30">
        <f>N(0.01)</f>
        <v>0.01</v>
      </c>
      <c r="O99" s="30">
        <f t="shared" si="22"/>
        <v>0.01</v>
      </c>
      <c r="P99" s="30"/>
      <c r="Q99" s="30">
        <f t="shared" si="23"/>
        <v>100</v>
      </c>
      <c r="R99" s="32">
        <f>N(0)</f>
        <v>0</v>
      </c>
      <c r="S99" s="33">
        <f t="shared" si="24"/>
        <v>0</v>
      </c>
      <c r="T99" s="34"/>
      <c r="U99" s="34">
        <f t="shared" si="25"/>
        <v>0</v>
      </c>
    </row>
    <row r="100" spans="1:21" hidden="1" outlineLevel="1" collapsed="1">
      <c r="A100" s="22"/>
      <c r="B100" s="35" t="str">
        <f>"    "&amp;"Annen personalkostnad"</f>
        <v xml:space="preserve">    Annen personalkostnad</v>
      </c>
      <c r="C100" s="36"/>
      <c r="D100" s="37">
        <f>SUM(D90:D99)</f>
        <v>1108356</v>
      </c>
      <c r="E100" s="33">
        <f>SUM(E90:E99)</f>
        <v>607505.21000000008</v>
      </c>
      <c r="F100" s="33">
        <f t="shared" si="18"/>
        <v>-500850.78999999992</v>
      </c>
      <c r="G100" s="33"/>
      <c r="H100" s="38">
        <f t="shared" si="19"/>
        <v>-82.443867436132749</v>
      </c>
      <c r="I100" s="39">
        <f>SUM(I90:I99)</f>
        <v>719545.55</v>
      </c>
      <c r="J100" s="33">
        <f t="shared" si="20"/>
        <v>-388810.44999999995</v>
      </c>
      <c r="K100" s="33"/>
      <c r="L100" s="33">
        <f t="shared" si="21"/>
        <v>-54.035557582143326</v>
      </c>
      <c r="M100" s="37">
        <f>SUM(M90:M99)</f>
        <v>1108356</v>
      </c>
      <c r="N100" s="33">
        <f>SUM(N90:N99)</f>
        <v>607505.21000000008</v>
      </c>
      <c r="O100" s="33">
        <f t="shared" si="22"/>
        <v>-500850.78999999992</v>
      </c>
      <c r="P100" s="33"/>
      <c r="Q100" s="33">
        <f t="shared" si="23"/>
        <v>-82.443867436132749</v>
      </c>
      <c r="R100" s="39">
        <f>SUM(R90:R99)</f>
        <v>719545.55</v>
      </c>
      <c r="S100" s="33">
        <f t="shared" si="24"/>
        <v>-388810.44999999995</v>
      </c>
      <c r="T100" s="34"/>
      <c r="U100" s="34">
        <f t="shared" si="25"/>
        <v>-54.035557582143326</v>
      </c>
    </row>
    <row r="101" spans="1:21" hidden="1" outlineLevel="2">
      <c r="A101" s="22"/>
      <c r="B101" s="28">
        <v>5310</v>
      </c>
      <c r="C101" s="29" t="s">
        <v>130</v>
      </c>
      <c r="D101" s="5">
        <f t="shared" ref="D101:E111" si="28">N(0)</f>
        <v>0</v>
      </c>
      <c r="E101" s="30">
        <f t="shared" si="28"/>
        <v>0</v>
      </c>
      <c r="F101" s="30">
        <f t="shared" si="18"/>
        <v>0</v>
      </c>
      <c r="G101" s="30"/>
      <c r="H101" s="31">
        <f t="shared" si="19"/>
        <v>0</v>
      </c>
      <c r="I101" s="32">
        <f>N(0)</f>
        <v>0</v>
      </c>
      <c r="J101" s="30">
        <f t="shared" si="20"/>
        <v>0</v>
      </c>
      <c r="K101" s="30"/>
      <c r="L101" s="30">
        <f t="shared" si="21"/>
        <v>0</v>
      </c>
      <c r="M101" s="5">
        <f t="shared" ref="M101:N111" si="29">N(0)</f>
        <v>0</v>
      </c>
      <c r="N101" s="30">
        <f t="shared" si="29"/>
        <v>0</v>
      </c>
      <c r="O101" s="30">
        <f t="shared" si="22"/>
        <v>0</v>
      </c>
      <c r="P101" s="30"/>
      <c r="Q101" s="30">
        <f t="shared" si="23"/>
        <v>0</v>
      </c>
      <c r="R101" s="32">
        <f>N(0)</f>
        <v>0</v>
      </c>
      <c r="S101" s="33">
        <f t="shared" si="24"/>
        <v>0</v>
      </c>
      <c r="T101" s="34"/>
      <c r="U101" s="34">
        <f t="shared" si="25"/>
        <v>0</v>
      </c>
    </row>
    <row r="102" spans="1:21" hidden="1" outlineLevel="2">
      <c r="A102" s="22"/>
      <c r="B102" s="28">
        <v>5311</v>
      </c>
      <c r="C102" s="29" t="s">
        <v>131</v>
      </c>
      <c r="D102" s="5">
        <f t="shared" si="28"/>
        <v>0</v>
      </c>
      <c r="E102" s="30">
        <f t="shared" si="28"/>
        <v>0</v>
      </c>
      <c r="F102" s="30">
        <f t="shared" si="18"/>
        <v>0</v>
      </c>
      <c r="G102" s="30"/>
      <c r="H102" s="31">
        <f t="shared" si="19"/>
        <v>0</v>
      </c>
      <c r="I102" s="32">
        <f>N(0)</f>
        <v>0</v>
      </c>
      <c r="J102" s="30">
        <f t="shared" si="20"/>
        <v>0</v>
      </c>
      <c r="K102" s="30"/>
      <c r="L102" s="30">
        <f t="shared" si="21"/>
        <v>0</v>
      </c>
      <c r="M102" s="5">
        <f t="shared" si="29"/>
        <v>0</v>
      </c>
      <c r="N102" s="30">
        <f t="shared" si="29"/>
        <v>0</v>
      </c>
      <c r="O102" s="30">
        <f t="shared" si="22"/>
        <v>0</v>
      </c>
      <c r="P102" s="30"/>
      <c r="Q102" s="30">
        <f t="shared" si="23"/>
        <v>0</v>
      </c>
      <c r="R102" s="32">
        <f>N(0)</f>
        <v>0</v>
      </c>
      <c r="S102" s="33">
        <f t="shared" si="24"/>
        <v>0</v>
      </c>
      <c r="T102" s="34"/>
      <c r="U102" s="34">
        <f t="shared" si="25"/>
        <v>0</v>
      </c>
    </row>
    <row r="103" spans="1:21" hidden="1" outlineLevel="2">
      <c r="A103" s="22"/>
      <c r="B103" s="28">
        <v>5324</v>
      </c>
      <c r="C103" s="29" t="s">
        <v>132</v>
      </c>
      <c r="D103" s="5">
        <f t="shared" si="28"/>
        <v>0</v>
      </c>
      <c r="E103" s="30">
        <f t="shared" si="28"/>
        <v>0</v>
      </c>
      <c r="F103" s="30">
        <f t="shared" si="18"/>
        <v>0</v>
      </c>
      <c r="G103" s="30"/>
      <c r="H103" s="31">
        <f t="shared" si="19"/>
        <v>0</v>
      </c>
      <c r="I103" s="32">
        <f>N(2347)</f>
        <v>2347</v>
      </c>
      <c r="J103" s="30">
        <f t="shared" si="20"/>
        <v>2347</v>
      </c>
      <c r="K103" s="30"/>
      <c r="L103" s="30">
        <f t="shared" si="21"/>
        <v>100</v>
      </c>
      <c r="M103" s="5">
        <f t="shared" si="29"/>
        <v>0</v>
      </c>
      <c r="N103" s="30">
        <f t="shared" si="29"/>
        <v>0</v>
      </c>
      <c r="O103" s="30">
        <f t="shared" si="22"/>
        <v>0</v>
      </c>
      <c r="P103" s="30"/>
      <c r="Q103" s="30">
        <f t="shared" si="23"/>
        <v>0</v>
      </c>
      <c r="R103" s="32">
        <f>N(2347)</f>
        <v>2347</v>
      </c>
      <c r="S103" s="33">
        <f t="shared" si="24"/>
        <v>2347</v>
      </c>
      <c r="T103" s="34"/>
      <c r="U103" s="34">
        <f t="shared" si="25"/>
        <v>100</v>
      </c>
    </row>
    <row r="104" spans="1:21" hidden="1" outlineLevel="2">
      <c r="A104" s="22"/>
      <c r="B104" s="28">
        <v>5325</v>
      </c>
      <c r="C104" s="29" t="s">
        <v>133</v>
      </c>
      <c r="D104" s="5">
        <f t="shared" si="28"/>
        <v>0</v>
      </c>
      <c r="E104" s="30">
        <f t="shared" si="28"/>
        <v>0</v>
      </c>
      <c r="F104" s="30">
        <f t="shared" si="18"/>
        <v>0</v>
      </c>
      <c r="G104" s="30"/>
      <c r="H104" s="31">
        <f t="shared" si="19"/>
        <v>0</v>
      </c>
      <c r="I104" s="32">
        <f t="shared" ref="I104:I111" si="30">N(0)</f>
        <v>0</v>
      </c>
      <c r="J104" s="30">
        <f t="shared" si="20"/>
        <v>0</v>
      </c>
      <c r="K104" s="30"/>
      <c r="L104" s="30">
        <f t="shared" si="21"/>
        <v>0</v>
      </c>
      <c r="M104" s="5">
        <f t="shared" si="29"/>
        <v>0</v>
      </c>
      <c r="N104" s="30">
        <f t="shared" si="29"/>
        <v>0</v>
      </c>
      <c r="O104" s="30">
        <f t="shared" si="22"/>
        <v>0</v>
      </c>
      <c r="P104" s="30"/>
      <c r="Q104" s="30">
        <f t="shared" si="23"/>
        <v>0</v>
      </c>
      <c r="R104" s="32">
        <f t="shared" ref="R104:R111" si="31">N(0)</f>
        <v>0</v>
      </c>
      <c r="S104" s="33">
        <f t="shared" si="24"/>
        <v>0</v>
      </c>
      <c r="T104" s="34"/>
      <c r="U104" s="34">
        <f t="shared" si="25"/>
        <v>0</v>
      </c>
    </row>
    <row r="105" spans="1:21" hidden="1" outlineLevel="2">
      <c r="A105" s="22"/>
      <c r="B105" s="28">
        <v>5921</v>
      </c>
      <c r="C105" s="29" t="s">
        <v>134</v>
      </c>
      <c r="D105" s="5">
        <f t="shared" si="28"/>
        <v>0</v>
      </c>
      <c r="E105" s="30">
        <f t="shared" si="28"/>
        <v>0</v>
      </c>
      <c r="F105" s="30">
        <f t="shared" si="18"/>
        <v>0</v>
      </c>
      <c r="G105" s="30"/>
      <c r="H105" s="31">
        <f t="shared" si="19"/>
        <v>0</v>
      </c>
      <c r="I105" s="32">
        <f t="shared" si="30"/>
        <v>0</v>
      </c>
      <c r="J105" s="30">
        <f t="shared" si="20"/>
        <v>0</v>
      </c>
      <c r="K105" s="30"/>
      <c r="L105" s="30">
        <f t="shared" si="21"/>
        <v>0</v>
      </c>
      <c r="M105" s="5">
        <f t="shared" si="29"/>
        <v>0</v>
      </c>
      <c r="N105" s="30">
        <f t="shared" si="29"/>
        <v>0</v>
      </c>
      <c r="O105" s="30">
        <f t="shared" si="22"/>
        <v>0</v>
      </c>
      <c r="P105" s="30"/>
      <c r="Q105" s="30">
        <f t="shared" si="23"/>
        <v>0</v>
      </c>
      <c r="R105" s="32">
        <f t="shared" si="31"/>
        <v>0</v>
      </c>
      <c r="S105" s="33">
        <f t="shared" si="24"/>
        <v>0</v>
      </c>
      <c r="T105" s="34"/>
      <c r="U105" s="34">
        <f t="shared" si="25"/>
        <v>0</v>
      </c>
    </row>
    <row r="106" spans="1:21" hidden="1" outlineLevel="2">
      <c r="A106" s="22"/>
      <c r="B106" s="28">
        <v>5930</v>
      </c>
      <c r="C106" s="29" t="s">
        <v>135</v>
      </c>
      <c r="D106" s="5">
        <f t="shared" si="28"/>
        <v>0</v>
      </c>
      <c r="E106" s="30">
        <f t="shared" si="28"/>
        <v>0</v>
      </c>
      <c r="F106" s="30">
        <f t="shared" si="18"/>
        <v>0</v>
      </c>
      <c r="G106" s="30"/>
      <c r="H106" s="31">
        <f t="shared" si="19"/>
        <v>0</v>
      </c>
      <c r="I106" s="32">
        <f t="shared" si="30"/>
        <v>0</v>
      </c>
      <c r="J106" s="30">
        <f t="shared" si="20"/>
        <v>0</v>
      </c>
      <c r="K106" s="30"/>
      <c r="L106" s="30">
        <f t="shared" si="21"/>
        <v>0</v>
      </c>
      <c r="M106" s="5">
        <f t="shared" si="29"/>
        <v>0</v>
      </c>
      <c r="N106" s="30">
        <f t="shared" si="29"/>
        <v>0</v>
      </c>
      <c r="O106" s="30">
        <f t="shared" si="22"/>
        <v>0</v>
      </c>
      <c r="P106" s="30"/>
      <c r="Q106" s="30">
        <f t="shared" si="23"/>
        <v>0</v>
      </c>
      <c r="R106" s="32">
        <f t="shared" si="31"/>
        <v>0</v>
      </c>
      <c r="S106" s="33">
        <f t="shared" si="24"/>
        <v>0</v>
      </c>
      <c r="T106" s="34"/>
      <c r="U106" s="34">
        <f t="shared" si="25"/>
        <v>0</v>
      </c>
    </row>
    <row r="107" spans="1:21" hidden="1" outlineLevel="2">
      <c r="A107" s="22"/>
      <c r="B107" s="28">
        <v>5931</v>
      </c>
      <c r="C107" s="29" t="s">
        <v>136</v>
      </c>
      <c r="D107" s="5">
        <f t="shared" si="28"/>
        <v>0</v>
      </c>
      <c r="E107" s="30">
        <f t="shared" si="28"/>
        <v>0</v>
      </c>
      <c r="F107" s="30">
        <f t="shared" si="18"/>
        <v>0</v>
      </c>
      <c r="G107" s="30"/>
      <c r="H107" s="31">
        <f t="shared" si="19"/>
        <v>0</v>
      </c>
      <c r="I107" s="32">
        <f t="shared" si="30"/>
        <v>0</v>
      </c>
      <c r="J107" s="30">
        <f t="shared" si="20"/>
        <v>0</v>
      </c>
      <c r="K107" s="30"/>
      <c r="L107" s="30">
        <f t="shared" si="21"/>
        <v>0</v>
      </c>
      <c r="M107" s="5">
        <f t="shared" si="29"/>
        <v>0</v>
      </c>
      <c r="N107" s="30">
        <f t="shared" si="29"/>
        <v>0</v>
      </c>
      <c r="O107" s="30">
        <f t="shared" si="22"/>
        <v>0</v>
      </c>
      <c r="P107" s="30"/>
      <c r="Q107" s="30">
        <f t="shared" si="23"/>
        <v>0</v>
      </c>
      <c r="R107" s="32">
        <f t="shared" si="31"/>
        <v>0</v>
      </c>
      <c r="S107" s="33">
        <f t="shared" si="24"/>
        <v>0</v>
      </c>
      <c r="T107" s="34"/>
      <c r="U107" s="34">
        <f t="shared" si="25"/>
        <v>0</v>
      </c>
    </row>
    <row r="108" spans="1:21" hidden="1" outlineLevel="2">
      <c r="A108" s="22"/>
      <c r="B108" s="28">
        <v>5940</v>
      </c>
      <c r="C108" s="29" t="s">
        <v>137</v>
      </c>
      <c r="D108" s="5">
        <f t="shared" si="28"/>
        <v>0</v>
      </c>
      <c r="E108" s="30">
        <f t="shared" si="28"/>
        <v>0</v>
      </c>
      <c r="F108" s="30">
        <f t="shared" si="18"/>
        <v>0</v>
      </c>
      <c r="G108" s="30"/>
      <c r="H108" s="31">
        <f t="shared" si="19"/>
        <v>0</v>
      </c>
      <c r="I108" s="32">
        <f t="shared" si="30"/>
        <v>0</v>
      </c>
      <c r="J108" s="30">
        <f t="shared" si="20"/>
        <v>0</v>
      </c>
      <c r="K108" s="30"/>
      <c r="L108" s="30">
        <f t="shared" si="21"/>
        <v>0</v>
      </c>
      <c r="M108" s="5">
        <f t="shared" si="29"/>
        <v>0</v>
      </c>
      <c r="N108" s="30">
        <f t="shared" si="29"/>
        <v>0</v>
      </c>
      <c r="O108" s="30">
        <f t="shared" si="22"/>
        <v>0</v>
      </c>
      <c r="P108" s="30"/>
      <c r="Q108" s="30">
        <f t="shared" si="23"/>
        <v>0</v>
      </c>
      <c r="R108" s="32">
        <f t="shared" si="31"/>
        <v>0</v>
      </c>
      <c r="S108" s="33">
        <f t="shared" si="24"/>
        <v>0</v>
      </c>
      <c r="T108" s="34"/>
      <c r="U108" s="34">
        <f t="shared" si="25"/>
        <v>0</v>
      </c>
    </row>
    <row r="109" spans="1:21" hidden="1" outlineLevel="2">
      <c r="A109" s="22"/>
      <c r="B109" s="28">
        <v>5944</v>
      </c>
      <c r="C109" s="29" t="s">
        <v>138</v>
      </c>
      <c r="D109" s="5">
        <f t="shared" si="28"/>
        <v>0</v>
      </c>
      <c r="E109" s="30">
        <f t="shared" si="28"/>
        <v>0</v>
      </c>
      <c r="F109" s="30">
        <f t="shared" si="18"/>
        <v>0</v>
      </c>
      <c r="G109" s="30"/>
      <c r="H109" s="31">
        <f t="shared" si="19"/>
        <v>0</v>
      </c>
      <c r="I109" s="32">
        <f t="shared" si="30"/>
        <v>0</v>
      </c>
      <c r="J109" s="30">
        <f t="shared" si="20"/>
        <v>0</v>
      </c>
      <c r="K109" s="30"/>
      <c r="L109" s="30">
        <f t="shared" si="21"/>
        <v>0</v>
      </c>
      <c r="M109" s="5">
        <f t="shared" si="29"/>
        <v>0</v>
      </c>
      <c r="N109" s="30">
        <f t="shared" si="29"/>
        <v>0</v>
      </c>
      <c r="O109" s="30">
        <f t="shared" si="22"/>
        <v>0</v>
      </c>
      <c r="P109" s="30"/>
      <c r="Q109" s="30">
        <f t="shared" si="23"/>
        <v>0</v>
      </c>
      <c r="R109" s="32">
        <f t="shared" si="31"/>
        <v>0</v>
      </c>
      <c r="S109" s="33">
        <f t="shared" si="24"/>
        <v>0</v>
      </c>
      <c r="T109" s="34"/>
      <c r="U109" s="34">
        <f t="shared" si="25"/>
        <v>0</v>
      </c>
    </row>
    <row r="110" spans="1:21" hidden="1" outlineLevel="2">
      <c r="A110" s="22"/>
      <c r="B110" s="28">
        <v>5948</v>
      </c>
      <c r="C110" s="29" t="s">
        <v>139</v>
      </c>
      <c r="D110" s="5">
        <f t="shared" si="28"/>
        <v>0</v>
      </c>
      <c r="E110" s="30">
        <f t="shared" si="28"/>
        <v>0</v>
      </c>
      <c r="F110" s="30">
        <f t="shared" si="18"/>
        <v>0</v>
      </c>
      <c r="G110" s="30"/>
      <c r="H110" s="31">
        <f t="shared" si="19"/>
        <v>0</v>
      </c>
      <c r="I110" s="32">
        <f t="shared" si="30"/>
        <v>0</v>
      </c>
      <c r="J110" s="30">
        <f t="shared" si="20"/>
        <v>0</v>
      </c>
      <c r="K110" s="30"/>
      <c r="L110" s="30">
        <f t="shared" si="21"/>
        <v>0</v>
      </c>
      <c r="M110" s="5">
        <f t="shared" si="29"/>
        <v>0</v>
      </c>
      <c r="N110" s="30">
        <f t="shared" si="29"/>
        <v>0</v>
      </c>
      <c r="O110" s="30">
        <f t="shared" si="22"/>
        <v>0</v>
      </c>
      <c r="P110" s="30"/>
      <c r="Q110" s="30">
        <f t="shared" si="23"/>
        <v>0</v>
      </c>
      <c r="R110" s="32">
        <f t="shared" si="31"/>
        <v>0</v>
      </c>
      <c r="S110" s="33">
        <f t="shared" si="24"/>
        <v>0</v>
      </c>
      <c r="T110" s="34"/>
      <c r="U110" s="34">
        <f t="shared" si="25"/>
        <v>0</v>
      </c>
    </row>
    <row r="111" spans="1:21" hidden="1" outlineLevel="2">
      <c r="A111" s="22"/>
      <c r="B111" s="28">
        <v>5994</v>
      </c>
      <c r="C111" s="29" t="s">
        <v>140</v>
      </c>
      <c r="D111" s="5">
        <f t="shared" si="28"/>
        <v>0</v>
      </c>
      <c r="E111" s="30">
        <f t="shared" si="28"/>
        <v>0</v>
      </c>
      <c r="F111" s="30">
        <f>-D111+E111</f>
        <v>0</v>
      </c>
      <c r="G111" s="30"/>
      <c r="H111" s="31">
        <f>IF(E111=0,0,F111*100/E111)</f>
        <v>0</v>
      </c>
      <c r="I111" s="32">
        <f t="shared" si="30"/>
        <v>0</v>
      </c>
      <c r="J111" s="30">
        <f>-D111+I111</f>
        <v>0</v>
      </c>
      <c r="K111" s="30"/>
      <c r="L111" s="30">
        <f>IF(I111=0,0,J111*100/I111)</f>
        <v>0</v>
      </c>
      <c r="M111" s="5">
        <f t="shared" si="29"/>
        <v>0</v>
      </c>
      <c r="N111" s="30">
        <f t="shared" si="29"/>
        <v>0</v>
      </c>
      <c r="O111" s="30">
        <f>-M111+N111</f>
        <v>0</v>
      </c>
      <c r="P111" s="30"/>
      <c r="Q111" s="30">
        <f>IF(N111=0,0,O111*100/N111)</f>
        <v>0</v>
      </c>
      <c r="R111" s="32">
        <f t="shared" si="31"/>
        <v>0</v>
      </c>
      <c r="S111" s="33">
        <f>-M111+R111</f>
        <v>0</v>
      </c>
      <c r="T111" s="34"/>
      <c r="U111" s="34">
        <f>IF(R111=0,0,S111*100/R111)</f>
        <v>0</v>
      </c>
    </row>
    <row r="112" spans="1:21" hidden="1" outlineLevel="1" collapsed="1">
      <c r="A112" s="22"/>
      <c r="B112" s="35" t="str">
        <f>"    "&amp;"Pensjon og forsikring Cornerstone"</f>
        <v xml:space="preserve">    Pensjon og forsikring Cornerstone</v>
      </c>
      <c r="C112" s="36"/>
      <c r="D112" s="37">
        <f>SUM(D101:D111)</f>
        <v>0</v>
      </c>
      <c r="E112" s="33">
        <f>SUM(E101:E111)</f>
        <v>0</v>
      </c>
      <c r="F112" s="33">
        <f>-D112+E112</f>
        <v>0</v>
      </c>
      <c r="G112" s="33"/>
      <c r="H112" s="38">
        <f>IF(E112=0,0,F112*100/E112)</f>
        <v>0</v>
      </c>
      <c r="I112" s="39">
        <f>SUM(I101:I111)</f>
        <v>2347</v>
      </c>
      <c r="J112" s="33">
        <f>-D112+I112</f>
        <v>2347</v>
      </c>
      <c r="K112" s="33"/>
      <c r="L112" s="33">
        <f>IF(I112=0,0,J112*100/I112)</f>
        <v>100</v>
      </c>
      <c r="M112" s="37">
        <f>SUM(M101:M111)</f>
        <v>0</v>
      </c>
      <c r="N112" s="33">
        <f>SUM(N101:N111)</f>
        <v>0</v>
      </c>
      <c r="O112" s="33">
        <f>-M112+N112</f>
        <v>0</v>
      </c>
      <c r="P112" s="33"/>
      <c r="Q112" s="33">
        <f>IF(N112=0,0,O112*100/N112)</f>
        <v>0</v>
      </c>
      <c r="R112" s="39">
        <f>SUM(R101:R111)</f>
        <v>2347</v>
      </c>
      <c r="S112" s="33">
        <f>-M112+R112</f>
        <v>2347</v>
      </c>
      <c r="T112" s="34"/>
      <c r="U112" s="34">
        <f>IF(R112=0,0,S112*100/R112)</f>
        <v>100</v>
      </c>
    </row>
    <row r="113" spans="1:21" collapsed="1">
      <c r="A113" s="22"/>
      <c r="B113" s="41" t="s">
        <v>17</v>
      </c>
      <c r="C113" s="42"/>
      <c r="D113" s="43">
        <f ca="1">SUM(OSRRefD18_1x_0)</f>
        <v>16251061.949999997</v>
      </c>
      <c r="E113" s="44">
        <f ca="1">SUM(OSRRefE18_1x_0)</f>
        <v>17314989.294537999</v>
      </c>
      <c r="F113" s="44">
        <f t="shared" ref="F113:F176" ca="1" si="32">-D113+E113</f>
        <v>1063927.3445380013</v>
      </c>
      <c r="G113" s="44"/>
      <c r="H113" s="45">
        <f t="shared" ref="H113:H176" ca="1" si="33">IF(E113=0,0,F113*100/E113)</f>
        <v>6.1445452055440573</v>
      </c>
      <c r="I113" s="46">
        <f ca="1">SUM(OSRRefI18_1x_0)</f>
        <v>16254199.320000002</v>
      </c>
      <c r="J113" s="44">
        <f t="shared" ref="J113:J176" ca="1" si="34">-D113+I113</f>
        <v>3137.3700000047684</v>
      </c>
      <c r="K113" s="44"/>
      <c r="L113" s="44">
        <f t="shared" ref="L113:L176" ca="1" si="35">IF(I113=0,0,J113*100/I113)</f>
        <v>1.9301904315547472E-2</v>
      </c>
      <c r="M113" s="43">
        <f ca="1">SUM(OSRRefM18_1x_0)</f>
        <v>16251061.949999997</v>
      </c>
      <c r="N113" s="44">
        <f ca="1">SUM(OSRRefN18_1x_0)</f>
        <v>17314989.294537999</v>
      </c>
      <c r="O113" s="44">
        <f t="shared" ref="O113:O176" ca="1" si="36">-M113+N113</f>
        <v>1063927.3445380013</v>
      </c>
      <c r="P113" s="44"/>
      <c r="Q113" s="44">
        <f t="shared" ref="Q113:Q176" ca="1" si="37">IF(N113=0,0,O113*100/N113)</f>
        <v>6.1445452055440573</v>
      </c>
      <c r="R113" s="46">
        <f ca="1">SUM(OSRRefR18_1x_0)</f>
        <v>16254199.320000002</v>
      </c>
      <c r="S113" s="44">
        <f t="shared" ref="S113:S176" ca="1" si="38">-M113+R113</f>
        <v>3137.3700000047684</v>
      </c>
      <c r="T113" s="47"/>
      <c r="U113" s="47">
        <f t="shared" ref="U113:U176" ca="1" si="39">IF(R113=0,0,S113*100/R113)</f>
        <v>1.9301904315547472E-2</v>
      </c>
    </row>
    <row r="114" spans="1:21" hidden="1" outlineLevel="2">
      <c r="A114" s="22"/>
      <c r="B114" s="28">
        <v>6017</v>
      </c>
      <c r="C114" s="29" t="s">
        <v>141</v>
      </c>
      <c r="D114" s="5">
        <f>N(107131.08)</f>
        <v>107131.08</v>
      </c>
      <c r="E114" s="30">
        <f>N(105000)</f>
        <v>105000</v>
      </c>
      <c r="F114" s="30">
        <f t="shared" si="32"/>
        <v>-2131.0800000000017</v>
      </c>
      <c r="G114" s="30"/>
      <c r="H114" s="31">
        <f t="shared" si="33"/>
        <v>-2.0296000000000016</v>
      </c>
      <c r="I114" s="32">
        <f>N(105229.91)</f>
        <v>105229.91</v>
      </c>
      <c r="J114" s="30">
        <f t="shared" si="34"/>
        <v>-1901.1699999999983</v>
      </c>
      <c r="K114" s="30"/>
      <c r="L114" s="30">
        <f t="shared" si="35"/>
        <v>-1.8066821495903571</v>
      </c>
      <c r="M114" s="5">
        <f>N(107131.08)</f>
        <v>107131.08</v>
      </c>
      <c r="N114" s="30">
        <f>N(105000)</f>
        <v>105000</v>
      </c>
      <c r="O114" s="30">
        <f t="shared" si="36"/>
        <v>-2131.0800000000017</v>
      </c>
      <c r="P114" s="30"/>
      <c r="Q114" s="30">
        <f t="shared" si="37"/>
        <v>-2.0296000000000016</v>
      </c>
      <c r="R114" s="32">
        <f>N(105229.91)</f>
        <v>105229.91</v>
      </c>
      <c r="S114" s="33">
        <f t="shared" si="38"/>
        <v>-1901.1699999999983</v>
      </c>
      <c r="T114" s="34"/>
      <c r="U114" s="34">
        <f t="shared" si="39"/>
        <v>-1.8066821495903571</v>
      </c>
    </row>
    <row r="115" spans="1:21" hidden="1" outlineLevel="1" collapsed="1">
      <c r="A115" s="22"/>
      <c r="B115" s="35" t="str">
        <f>"    "&amp;"Av- og nedskrivning"</f>
        <v xml:space="preserve">    Av- og nedskrivning</v>
      </c>
      <c r="C115" s="36"/>
      <c r="D115" s="37">
        <f>SUM(D114)</f>
        <v>107131.08</v>
      </c>
      <c r="E115" s="33">
        <f>SUM(E114)</f>
        <v>105000</v>
      </c>
      <c r="F115" s="33">
        <f t="shared" si="32"/>
        <v>-2131.0800000000017</v>
      </c>
      <c r="G115" s="33"/>
      <c r="H115" s="38">
        <f t="shared" si="33"/>
        <v>-2.0296000000000016</v>
      </c>
      <c r="I115" s="39">
        <f>SUM(I114)</f>
        <v>105229.91</v>
      </c>
      <c r="J115" s="33">
        <f t="shared" si="34"/>
        <v>-1901.1699999999983</v>
      </c>
      <c r="K115" s="33"/>
      <c r="L115" s="33">
        <f t="shared" si="35"/>
        <v>-1.8066821495903571</v>
      </c>
      <c r="M115" s="37">
        <f>SUM(M114)</f>
        <v>107131.08</v>
      </c>
      <c r="N115" s="33">
        <f>SUM(N114)</f>
        <v>105000</v>
      </c>
      <c r="O115" s="33">
        <f t="shared" si="36"/>
        <v>-2131.0800000000017</v>
      </c>
      <c r="P115" s="33"/>
      <c r="Q115" s="33">
        <f t="shared" si="37"/>
        <v>-2.0296000000000016</v>
      </c>
      <c r="R115" s="39">
        <f>SUM(R114)</f>
        <v>105229.91</v>
      </c>
      <c r="S115" s="33">
        <f t="shared" si="38"/>
        <v>-1901.1699999999983</v>
      </c>
      <c r="T115" s="34"/>
      <c r="U115" s="34">
        <f t="shared" si="39"/>
        <v>-1.8066821495903571</v>
      </c>
    </row>
    <row r="116" spans="1:21" hidden="1" outlineLevel="2">
      <c r="A116" s="22"/>
      <c r="B116" s="28">
        <v>6300</v>
      </c>
      <c r="C116" s="29" t="s">
        <v>142</v>
      </c>
      <c r="D116" s="5">
        <f>N(629661.38)</f>
        <v>629661.38</v>
      </c>
      <c r="E116" s="30">
        <f>N(601000)</f>
        <v>601000</v>
      </c>
      <c r="F116" s="30">
        <f t="shared" si="32"/>
        <v>-28661.380000000005</v>
      </c>
      <c r="G116" s="30"/>
      <c r="H116" s="31">
        <f t="shared" si="33"/>
        <v>-4.7689484193011653</v>
      </c>
      <c r="I116" s="32">
        <f>N(568140)</f>
        <v>568140</v>
      </c>
      <c r="J116" s="30">
        <f t="shared" si="34"/>
        <v>-61521.380000000005</v>
      </c>
      <c r="K116" s="30"/>
      <c r="L116" s="30">
        <f t="shared" si="35"/>
        <v>-10.828559862005843</v>
      </c>
      <c r="M116" s="5">
        <f>N(629661.38)</f>
        <v>629661.38</v>
      </c>
      <c r="N116" s="30">
        <f>N(601000)</f>
        <v>601000</v>
      </c>
      <c r="O116" s="30">
        <f t="shared" si="36"/>
        <v>-28661.380000000005</v>
      </c>
      <c r="P116" s="30"/>
      <c r="Q116" s="30">
        <f t="shared" si="37"/>
        <v>-4.7689484193011653</v>
      </c>
      <c r="R116" s="32">
        <f>N(568140)</f>
        <v>568140</v>
      </c>
      <c r="S116" s="33">
        <f t="shared" si="38"/>
        <v>-61521.380000000005</v>
      </c>
      <c r="T116" s="34"/>
      <c r="U116" s="34">
        <f t="shared" si="39"/>
        <v>-10.828559862005843</v>
      </c>
    </row>
    <row r="117" spans="1:21" hidden="1" outlineLevel="2">
      <c r="A117" s="22"/>
      <c r="B117" s="28">
        <v>6340</v>
      </c>
      <c r="C117" s="29" t="s">
        <v>143</v>
      </c>
      <c r="D117" s="5">
        <f>N(0)</f>
        <v>0</v>
      </c>
      <c r="E117" s="30">
        <f>N(0)</f>
        <v>0</v>
      </c>
      <c r="F117" s="30">
        <f t="shared" si="32"/>
        <v>0</v>
      </c>
      <c r="G117" s="30"/>
      <c r="H117" s="31">
        <f t="shared" si="33"/>
        <v>0</v>
      </c>
      <c r="I117" s="32">
        <f>N(302.5)</f>
        <v>302.5</v>
      </c>
      <c r="J117" s="30">
        <f t="shared" si="34"/>
        <v>302.5</v>
      </c>
      <c r="K117" s="30"/>
      <c r="L117" s="30">
        <f t="shared" si="35"/>
        <v>100</v>
      </c>
      <c r="M117" s="5">
        <f>N(0)</f>
        <v>0</v>
      </c>
      <c r="N117" s="30">
        <f>N(0)</f>
        <v>0</v>
      </c>
      <c r="O117" s="30">
        <f t="shared" si="36"/>
        <v>0</v>
      </c>
      <c r="P117" s="30"/>
      <c r="Q117" s="30">
        <f t="shared" si="37"/>
        <v>0</v>
      </c>
      <c r="R117" s="32">
        <f>N(302.5)</f>
        <v>302.5</v>
      </c>
      <c r="S117" s="33">
        <f t="shared" si="38"/>
        <v>302.5</v>
      </c>
      <c r="T117" s="34"/>
      <c r="U117" s="34">
        <f t="shared" si="39"/>
        <v>100</v>
      </c>
    </row>
    <row r="118" spans="1:21" hidden="1" outlineLevel="2">
      <c r="A118" s="22"/>
      <c r="B118" s="28">
        <v>6360</v>
      </c>
      <c r="C118" s="29" t="s">
        <v>144</v>
      </c>
      <c r="D118" s="5">
        <f>N(55173.13)</f>
        <v>55173.13</v>
      </c>
      <c r="E118" s="30">
        <f>N(47000)</f>
        <v>47000</v>
      </c>
      <c r="F118" s="30">
        <f t="shared" si="32"/>
        <v>-8173.1299999999974</v>
      </c>
      <c r="G118" s="30"/>
      <c r="H118" s="31">
        <f t="shared" si="33"/>
        <v>-17.389638297872335</v>
      </c>
      <c r="I118" s="32">
        <f>N(51750)</f>
        <v>51750</v>
      </c>
      <c r="J118" s="30">
        <f t="shared" si="34"/>
        <v>-3423.1299999999974</v>
      </c>
      <c r="K118" s="30"/>
      <c r="L118" s="30">
        <f t="shared" si="35"/>
        <v>-6.6147439613526524</v>
      </c>
      <c r="M118" s="5">
        <f>N(55173.13)</f>
        <v>55173.13</v>
      </c>
      <c r="N118" s="30">
        <f>N(47000)</f>
        <v>47000</v>
      </c>
      <c r="O118" s="30">
        <f t="shared" si="36"/>
        <v>-8173.1299999999974</v>
      </c>
      <c r="P118" s="30"/>
      <c r="Q118" s="30">
        <f t="shared" si="37"/>
        <v>-17.389638297872335</v>
      </c>
      <c r="R118" s="32">
        <f>N(51750)</f>
        <v>51750</v>
      </c>
      <c r="S118" s="33">
        <f t="shared" si="38"/>
        <v>-3423.1299999999974</v>
      </c>
      <c r="T118" s="34"/>
      <c r="U118" s="34">
        <f t="shared" si="39"/>
        <v>-6.6147439613526524</v>
      </c>
    </row>
    <row r="119" spans="1:21" hidden="1" outlineLevel="2">
      <c r="A119" s="22"/>
      <c r="B119" s="28">
        <v>6390</v>
      </c>
      <c r="C119" s="29" t="s">
        <v>145</v>
      </c>
      <c r="D119" s="5">
        <f>N(8573.2)</f>
        <v>8573.2000000000007</v>
      </c>
      <c r="E119" s="30">
        <f>N(0)</f>
        <v>0</v>
      </c>
      <c r="F119" s="30">
        <f t="shared" si="32"/>
        <v>-8573.2000000000007</v>
      </c>
      <c r="G119" s="30"/>
      <c r="H119" s="31">
        <f t="shared" si="33"/>
        <v>0</v>
      </c>
      <c r="I119" s="32">
        <f>N(27436.15)</f>
        <v>27436.15</v>
      </c>
      <c r="J119" s="30">
        <f t="shared" si="34"/>
        <v>18862.95</v>
      </c>
      <c r="K119" s="30"/>
      <c r="L119" s="30">
        <f t="shared" si="35"/>
        <v>68.752175505674074</v>
      </c>
      <c r="M119" s="5">
        <f>N(8573.2)</f>
        <v>8573.2000000000007</v>
      </c>
      <c r="N119" s="30">
        <f>N(0)</f>
        <v>0</v>
      </c>
      <c r="O119" s="30">
        <f t="shared" si="36"/>
        <v>-8573.2000000000007</v>
      </c>
      <c r="P119" s="30"/>
      <c r="Q119" s="30">
        <f t="shared" si="37"/>
        <v>0</v>
      </c>
      <c r="R119" s="32">
        <f>N(27436.15)</f>
        <v>27436.15</v>
      </c>
      <c r="S119" s="33">
        <f t="shared" si="38"/>
        <v>18862.95</v>
      </c>
      <c r="T119" s="34"/>
      <c r="U119" s="34">
        <f t="shared" si="39"/>
        <v>68.752175505674074</v>
      </c>
    </row>
    <row r="120" spans="1:21" hidden="1" outlineLevel="2">
      <c r="A120" s="22"/>
      <c r="B120" s="28">
        <v>6490</v>
      </c>
      <c r="C120" s="29" t="s">
        <v>146</v>
      </c>
      <c r="D120" s="5">
        <f>N(26500)</f>
        <v>26500</v>
      </c>
      <c r="E120" s="30">
        <f>N(406500)</f>
        <v>406500</v>
      </c>
      <c r="F120" s="30">
        <f t="shared" si="32"/>
        <v>380000</v>
      </c>
      <c r="G120" s="30"/>
      <c r="H120" s="31">
        <f t="shared" si="33"/>
        <v>93.480934809348099</v>
      </c>
      <c r="I120" s="32">
        <f>N(0)</f>
        <v>0</v>
      </c>
      <c r="J120" s="30">
        <f t="shared" si="34"/>
        <v>-26500</v>
      </c>
      <c r="K120" s="30"/>
      <c r="L120" s="30">
        <f t="shared" si="35"/>
        <v>0</v>
      </c>
      <c r="M120" s="5">
        <f>N(26500)</f>
        <v>26500</v>
      </c>
      <c r="N120" s="30">
        <f>N(406500)</f>
        <v>406500</v>
      </c>
      <c r="O120" s="30">
        <f t="shared" si="36"/>
        <v>380000</v>
      </c>
      <c r="P120" s="30"/>
      <c r="Q120" s="30">
        <f t="shared" si="37"/>
        <v>93.480934809348099</v>
      </c>
      <c r="R120" s="32">
        <f>N(0)</f>
        <v>0</v>
      </c>
      <c r="S120" s="33">
        <f t="shared" si="38"/>
        <v>-26500</v>
      </c>
      <c r="T120" s="34"/>
      <c r="U120" s="34">
        <f t="shared" si="39"/>
        <v>0</v>
      </c>
    </row>
    <row r="121" spans="1:21" hidden="1" outlineLevel="1" collapsed="1">
      <c r="A121" s="22"/>
      <c r="B121" s="35" t="str">
        <f>"    "&amp;"Kostnad lokaler"</f>
        <v xml:space="preserve">    Kostnad lokaler</v>
      </c>
      <c r="C121" s="36"/>
      <c r="D121" s="37">
        <f>SUM(D116:D120)</f>
        <v>719907.71</v>
      </c>
      <c r="E121" s="33">
        <f>SUM(E116:E120)</f>
        <v>1054500</v>
      </c>
      <c r="F121" s="33">
        <f t="shared" si="32"/>
        <v>334592.29000000004</v>
      </c>
      <c r="G121" s="33"/>
      <c r="H121" s="38">
        <f t="shared" si="33"/>
        <v>31.729946894262689</v>
      </c>
      <c r="I121" s="39">
        <f>SUM(I116:I120)</f>
        <v>647628.65</v>
      </c>
      <c r="J121" s="33">
        <f t="shared" si="34"/>
        <v>-72279.059999999939</v>
      </c>
      <c r="K121" s="33"/>
      <c r="L121" s="33">
        <f t="shared" si="35"/>
        <v>-11.160571725787602</v>
      </c>
      <c r="M121" s="37">
        <f>SUM(M116:M120)</f>
        <v>719907.71</v>
      </c>
      <c r="N121" s="33">
        <f>SUM(N116:N120)</f>
        <v>1054500</v>
      </c>
      <c r="O121" s="33">
        <f t="shared" si="36"/>
        <v>334592.29000000004</v>
      </c>
      <c r="P121" s="33"/>
      <c r="Q121" s="33">
        <f t="shared" si="37"/>
        <v>31.729946894262689</v>
      </c>
      <c r="R121" s="39">
        <f>SUM(R116:R120)</f>
        <v>647628.65</v>
      </c>
      <c r="S121" s="33">
        <f t="shared" si="38"/>
        <v>-72279.059999999939</v>
      </c>
      <c r="T121" s="34"/>
      <c r="U121" s="34">
        <f t="shared" si="39"/>
        <v>-11.160571725787602</v>
      </c>
    </row>
    <row r="122" spans="1:21" hidden="1" outlineLevel="2">
      <c r="A122" s="22"/>
      <c r="B122" s="28">
        <v>6405</v>
      </c>
      <c r="C122" s="29" t="s">
        <v>147</v>
      </c>
      <c r="D122" s="5">
        <f>N(60096)</f>
        <v>60096</v>
      </c>
      <c r="E122" s="30">
        <f>N(91700)</f>
        <v>91700</v>
      </c>
      <c r="F122" s="30">
        <f t="shared" si="32"/>
        <v>31604</v>
      </c>
      <c r="G122" s="30"/>
      <c r="H122" s="31">
        <f t="shared" si="33"/>
        <v>34.464558342420936</v>
      </c>
      <c r="I122" s="32">
        <f>N(0)</f>
        <v>0</v>
      </c>
      <c r="J122" s="30">
        <f t="shared" si="34"/>
        <v>-60096</v>
      </c>
      <c r="K122" s="30"/>
      <c r="L122" s="30">
        <f t="shared" si="35"/>
        <v>0</v>
      </c>
      <c r="M122" s="5">
        <f>N(60096)</f>
        <v>60096</v>
      </c>
      <c r="N122" s="30">
        <f>N(91700)</f>
        <v>91700</v>
      </c>
      <c r="O122" s="30">
        <f t="shared" si="36"/>
        <v>31604</v>
      </c>
      <c r="P122" s="30"/>
      <c r="Q122" s="30">
        <f t="shared" si="37"/>
        <v>34.464558342420936</v>
      </c>
      <c r="R122" s="32">
        <f>N(0)</f>
        <v>0</v>
      </c>
      <c r="S122" s="33">
        <f t="shared" si="38"/>
        <v>-60096</v>
      </c>
      <c r="T122" s="34"/>
      <c r="U122" s="34">
        <f t="shared" si="39"/>
        <v>0</v>
      </c>
    </row>
    <row r="123" spans="1:21" hidden="1" outlineLevel="2">
      <c r="A123" s="22"/>
      <c r="B123" s="28">
        <v>6410</v>
      </c>
      <c r="C123" s="29" t="s">
        <v>148</v>
      </c>
      <c r="D123" s="5">
        <f>N(0)</f>
        <v>0</v>
      </c>
      <c r="E123" s="30">
        <f>N(0)</f>
        <v>0</v>
      </c>
      <c r="F123" s="30">
        <f t="shared" si="32"/>
        <v>0</v>
      </c>
      <c r="G123" s="30"/>
      <c r="H123" s="31">
        <f t="shared" si="33"/>
        <v>0</v>
      </c>
      <c r="I123" s="32">
        <f>N(0)</f>
        <v>0</v>
      </c>
      <c r="J123" s="30">
        <f t="shared" si="34"/>
        <v>0</v>
      </c>
      <c r="K123" s="30"/>
      <c r="L123" s="30">
        <f t="shared" si="35"/>
        <v>0</v>
      </c>
      <c r="M123" s="5">
        <f>N(0)</f>
        <v>0</v>
      </c>
      <c r="N123" s="30">
        <f>N(0)</f>
        <v>0</v>
      </c>
      <c r="O123" s="30">
        <f t="shared" si="36"/>
        <v>0</v>
      </c>
      <c r="P123" s="30"/>
      <c r="Q123" s="30">
        <f t="shared" si="37"/>
        <v>0</v>
      </c>
      <c r="R123" s="32">
        <f>N(0)</f>
        <v>0</v>
      </c>
      <c r="S123" s="33">
        <f t="shared" si="38"/>
        <v>0</v>
      </c>
      <c r="T123" s="34"/>
      <c r="U123" s="34">
        <f t="shared" si="39"/>
        <v>0</v>
      </c>
    </row>
    <row r="124" spans="1:21" hidden="1" outlineLevel="2">
      <c r="A124" s="22"/>
      <c r="B124" s="28">
        <v>6420</v>
      </c>
      <c r="C124" s="29" t="s">
        <v>149</v>
      </c>
      <c r="D124" s="5">
        <f>N(1111885.6)</f>
        <v>1111885.6000000001</v>
      </c>
      <c r="E124" s="30">
        <f>N(1039140)</f>
        <v>1039140</v>
      </c>
      <c r="F124" s="30">
        <f t="shared" si="32"/>
        <v>-72745.600000000093</v>
      </c>
      <c r="G124" s="30"/>
      <c r="H124" s="31">
        <f t="shared" si="33"/>
        <v>-7.0005581538580071</v>
      </c>
      <c r="I124" s="32">
        <f>N(1203823.18)</f>
        <v>1203823.18</v>
      </c>
      <c r="J124" s="30">
        <f t="shared" si="34"/>
        <v>91937.579999999842</v>
      </c>
      <c r="K124" s="30"/>
      <c r="L124" s="30">
        <f t="shared" si="35"/>
        <v>7.6371332208439329</v>
      </c>
      <c r="M124" s="5">
        <f>N(1111885.6)</f>
        <v>1111885.6000000001</v>
      </c>
      <c r="N124" s="30">
        <f>N(1039140)</f>
        <v>1039140</v>
      </c>
      <c r="O124" s="30">
        <f t="shared" si="36"/>
        <v>-72745.600000000093</v>
      </c>
      <c r="P124" s="30"/>
      <c r="Q124" s="30">
        <f t="shared" si="37"/>
        <v>-7.0005581538580071</v>
      </c>
      <c r="R124" s="32">
        <f>N(1203823.18)</f>
        <v>1203823.18</v>
      </c>
      <c r="S124" s="33">
        <f t="shared" si="38"/>
        <v>91937.579999999842</v>
      </c>
      <c r="T124" s="34"/>
      <c r="U124" s="34">
        <f t="shared" si="39"/>
        <v>7.6371332208439329</v>
      </c>
    </row>
    <row r="125" spans="1:21" hidden="1" outlineLevel="2">
      <c r="A125" s="22"/>
      <c r="B125" s="28">
        <v>6421</v>
      </c>
      <c r="C125" s="29" t="s">
        <v>150</v>
      </c>
      <c r="D125" s="5">
        <f>N(3577.2)</f>
        <v>3577.2</v>
      </c>
      <c r="E125" s="30">
        <f>N(0)</f>
        <v>0</v>
      </c>
      <c r="F125" s="30">
        <f t="shared" si="32"/>
        <v>-3577.2</v>
      </c>
      <c r="G125" s="30"/>
      <c r="H125" s="31">
        <f t="shared" si="33"/>
        <v>0</v>
      </c>
      <c r="I125" s="32">
        <f>N(12582.66)</f>
        <v>12582.66</v>
      </c>
      <c r="J125" s="30">
        <f t="shared" si="34"/>
        <v>9005.4599999999991</v>
      </c>
      <c r="K125" s="30"/>
      <c r="L125" s="30">
        <f t="shared" si="35"/>
        <v>71.570399263748669</v>
      </c>
      <c r="M125" s="5">
        <f>N(3577.2)</f>
        <v>3577.2</v>
      </c>
      <c r="N125" s="30">
        <f>N(0)</f>
        <v>0</v>
      </c>
      <c r="O125" s="30">
        <f t="shared" si="36"/>
        <v>-3577.2</v>
      </c>
      <c r="P125" s="30"/>
      <c r="Q125" s="30">
        <f t="shared" si="37"/>
        <v>0</v>
      </c>
      <c r="R125" s="32">
        <f>N(12582.66)</f>
        <v>12582.66</v>
      </c>
      <c r="S125" s="33">
        <f t="shared" si="38"/>
        <v>9005.4599999999991</v>
      </c>
      <c r="T125" s="34"/>
      <c r="U125" s="34">
        <f t="shared" si="39"/>
        <v>71.570399263748669</v>
      </c>
    </row>
    <row r="126" spans="1:21" hidden="1" outlineLevel="2">
      <c r="A126" s="22"/>
      <c r="B126" s="28">
        <v>6430</v>
      </c>
      <c r="C126" s="29" t="s">
        <v>151</v>
      </c>
      <c r="D126" s="5">
        <f>N(55085.1)</f>
        <v>55085.1</v>
      </c>
      <c r="E126" s="30">
        <f>N(18000)</f>
        <v>18000</v>
      </c>
      <c r="F126" s="30">
        <f t="shared" si="32"/>
        <v>-37085.1</v>
      </c>
      <c r="G126" s="30"/>
      <c r="H126" s="31">
        <f t="shared" si="33"/>
        <v>-206.02833333333334</v>
      </c>
      <c r="I126" s="32">
        <f>N(31580)</f>
        <v>31580</v>
      </c>
      <c r="J126" s="30">
        <f t="shared" si="34"/>
        <v>-23505.1</v>
      </c>
      <c r="K126" s="30"/>
      <c r="L126" s="30">
        <f t="shared" si="35"/>
        <v>-74.430335655478146</v>
      </c>
      <c r="M126" s="5">
        <f>N(55085.1)</f>
        <v>55085.1</v>
      </c>
      <c r="N126" s="30">
        <f>N(18000)</f>
        <v>18000</v>
      </c>
      <c r="O126" s="30">
        <f t="shared" si="36"/>
        <v>-37085.1</v>
      </c>
      <c r="P126" s="30"/>
      <c r="Q126" s="30">
        <f t="shared" si="37"/>
        <v>-206.02833333333334</v>
      </c>
      <c r="R126" s="32">
        <f>N(31580)</f>
        <v>31580</v>
      </c>
      <c r="S126" s="33">
        <f t="shared" si="38"/>
        <v>-23505.1</v>
      </c>
      <c r="T126" s="34"/>
      <c r="U126" s="34">
        <f t="shared" si="39"/>
        <v>-74.430335655478146</v>
      </c>
    </row>
    <row r="127" spans="1:21" hidden="1" outlineLevel="1" collapsed="1">
      <c r="A127" s="22"/>
      <c r="B127" s="35" t="str">
        <f>"    "&amp;"Leie maskiner, inventar o.l."</f>
        <v xml:space="preserve">    Leie maskiner, inventar o.l.</v>
      </c>
      <c r="C127" s="36"/>
      <c r="D127" s="37">
        <f>SUM(D122:D126)</f>
        <v>1230643.9000000001</v>
      </c>
      <c r="E127" s="33">
        <f>SUM(E122:E126)</f>
        <v>1148840</v>
      </c>
      <c r="F127" s="33">
        <f t="shared" si="32"/>
        <v>-81803.90000000014</v>
      </c>
      <c r="G127" s="33"/>
      <c r="H127" s="38">
        <f t="shared" si="33"/>
        <v>-7.1205650917447283</v>
      </c>
      <c r="I127" s="39">
        <f>SUM(I122:I126)</f>
        <v>1247985.8399999999</v>
      </c>
      <c r="J127" s="33">
        <f t="shared" si="34"/>
        <v>17341.939999999711</v>
      </c>
      <c r="K127" s="33"/>
      <c r="L127" s="33">
        <f t="shared" si="35"/>
        <v>1.3895942921916256</v>
      </c>
      <c r="M127" s="37">
        <f>SUM(M122:M126)</f>
        <v>1230643.9000000001</v>
      </c>
      <c r="N127" s="33">
        <f>SUM(N122:N126)</f>
        <v>1148840</v>
      </c>
      <c r="O127" s="33">
        <f t="shared" si="36"/>
        <v>-81803.90000000014</v>
      </c>
      <c r="P127" s="33"/>
      <c r="Q127" s="33">
        <f t="shared" si="37"/>
        <v>-7.1205650917447283</v>
      </c>
      <c r="R127" s="39">
        <f>SUM(R122:R126)</f>
        <v>1247985.8399999999</v>
      </c>
      <c r="S127" s="33">
        <f t="shared" si="38"/>
        <v>17341.939999999711</v>
      </c>
      <c r="T127" s="34"/>
      <c r="U127" s="34">
        <f t="shared" si="39"/>
        <v>1.3895942921916256</v>
      </c>
    </row>
    <row r="128" spans="1:21" hidden="1" outlineLevel="2">
      <c r="A128" s="22"/>
      <c r="B128" s="28">
        <v>6540</v>
      </c>
      <c r="C128" s="29" t="s">
        <v>152</v>
      </c>
      <c r="D128" s="5">
        <f>N(19838.4)</f>
        <v>19838.400000000001</v>
      </c>
      <c r="E128" s="30">
        <f>N(0)</f>
        <v>0</v>
      </c>
      <c r="F128" s="30">
        <f t="shared" si="32"/>
        <v>-19838.400000000001</v>
      </c>
      <c r="G128" s="30"/>
      <c r="H128" s="31">
        <f t="shared" si="33"/>
        <v>0</v>
      </c>
      <c r="I128" s="32">
        <f>N(3500)</f>
        <v>3500</v>
      </c>
      <c r="J128" s="30">
        <f t="shared" si="34"/>
        <v>-16338.400000000001</v>
      </c>
      <c r="K128" s="30"/>
      <c r="L128" s="30">
        <f t="shared" si="35"/>
        <v>-466.81142857142862</v>
      </c>
      <c r="M128" s="5">
        <f>N(19838.4)</f>
        <v>19838.400000000001</v>
      </c>
      <c r="N128" s="30">
        <f>N(0)</f>
        <v>0</v>
      </c>
      <c r="O128" s="30">
        <f t="shared" si="36"/>
        <v>-19838.400000000001</v>
      </c>
      <c r="P128" s="30"/>
      <c r="Q128" s="30">
        <f t="shared" si="37"/>
        <v>0</v>
      </c>
      <c r="R128" s="32">
        <f>N(3500)</f>
        <v>3500</v>
      </c>
      <c r="S128" s="33">
        <f t="shared" si="38"/>
        <v>-16338.400000000001</v>
      </c>
      <c r="T128" s="34"/>
      <c r="U128" s="34">
        <f t="shared" si="39"/>
        <v>-466.81142857142862</v>
      </c>
    </row>
    <row r="129" spans="1:21" hidden="1" outlineLevel="2">
      <c r="A129" s="22"/>
      <c r="B129" s="28">
        <v>6550</v>
      </c>
      <c r="C129" s="29" t="s">
        <v>153</v>
      </c>
      <c r="D129" s="5">
        <f>N(51188.88)</f>
        <v>51188.88</v>
      </c>
      <c r="E129" s="30">
        <f>N(11500)</f>
        <v>11500</v>
      </c>
      <c r="F129" s="30">
        <f t="shared" si="32"/>
        <v>-39688.879999999997</v>
      </c>
      <c r="G129" s="30"/>
      <c r="H129" s="31">
        <f t="shared" si="33"/>
        <v>-345.12069565217388</v>
      </c>
      <c r="I129" s="32">
        <f>N(27672.63)</f>
        <v>27672.63</v>
      </c>
      <c r="J129" s="30">
        <f t="shared" si="34"/>
        <v>-23516.249999999996</v>
      </c>
      <c r="K129" s="30"/>
      <c r="L129" s="30">
        <f t="shared" si="35"/>
        <v>-84.980177164223264</v>
      </c>
      <c r="M129" s="5">
        <f>N(51188.88)</f>
        <v>51188.88</v>
      </c>
      <c r="N129" s="30">
        <f>N(11500)</f>
        <v>11500</v>
      </c>
      <c r="O129" s="30">
        <f t="shared" si="36"/>
        <v>-39688.879999999997</v>
      </c>
      <c r="P129" s="30"/>
      <c r="Q129" s="30">
        <f t="shared" si="37"/>
        <v>-345.12069565217388</v>
      </c>
      <c r="R129" s="32">
        <f>N(27672.63)</f>
        <v>27672.63</v>
      </c>
      <c r="S129" s="33">
        <f t="shared" si="38"/>
        <v>-23516.249999999996</v>
      </c>
      <c r="T129" s="34"/>
      <c r="U129" s="34">
        <f t="shared" si="39"/>
        <v>-84.980177164223264</v>
      </c>
    </row>
    <row r="130" spans="1:21" hidden="1" outlineLevel="2">
      <c r="A130" s="22"/>
      <c r="B130" s="28">
        <v>6551</v>
      </c>
      <c r="C130" s="29" t="s">
        <v>154</v>
      </c>
      <c r="D130" s="5">
        <f>N(96527)</f>
        <v>96527</v>
      </c>
      <c r="E130" s="30">
        <f>N(79600)</f>
        <v>79600</v>
      </c>
      <c r="F130" s="30">
        <f t="shared" si="32"/>
        <v>-16927</v>
      </c>
      <c r="G130" s="30"/>
      <c r="H130" s="31">
        <f t="shared" si="33"/>
        <v>-21.265075376884422</v>
      </c>
      <c r="I130" s="32">
        <f>N(103399.91)</f>
        <v>103399.91</v>
      </c>
      <c r="J130" s="30">
        <f t="shared" si="34"/>
        <v>6872.9100000000035</v>
      </c>
      <c r="K130" s="30"/>
      <c r="L130" s="30">
        <f t="shared" si="35"/>
        <v>6.6469206791379252</v>
      </c>
      <c r="M130" s="5">
        <f>N(96527)</f>
        <v>96527</v>
      </c>
      <c r="N130" s="30">
        <f>N(79600)</f>
        <v>79600</v>
      </c>
      <c r="O130" s="30">
        <f t="shared" si="36"/>
        <v>-16927</v>
      </c>
      <c r="P130" s="30"/>
      <c r="Q130" s="30">
        <f t="shared" si="37"/>
        <v>-21.265075376884422</v>
      </c>
      <c r="R130" s="32">
        <f>N(103399.91)</f>
        <v>103399.91</v>
      </c>
      <c r="S130" s="33">
        <f t="shared" si="38"/>
        <v>6872.9100000000035</v>
      </c>
      <c r="T130" s="34"/>
      <c r="U130" s="34">
        <f t="shared" si="39"/>
        <v>6.6469206791379252</v>
      </c>
    </row>
    <row r="131" spans="1:21" hidden="1" outlineLevel="2">
      <c r="A131" s="22"/>
      <c r="B131" s="28">
        <v>6590</v>
      </c>
      <c r="C131" s="29" t="s">
        <v>155</v>
      </c>
      <c r="D131" s="5">
        <f>N(12745)</f>
        <v>12745</v>
      </c>
      <c r="E131" s="30">
        <f>N(30000)</f>
        <v>30000</v>
      </c>
      <c r="F131" s="30">
        <f t="shared" si="32"/>
        <v>17255</v>
      </c>
      <c r="G131" s="30"/>
      <c r="H131" s="31">
        <f t="shared" si="33"/>
        <v>57.516666666666666</v>
      </c>
      <c r="I131" s="32">
        <f>N(11492.3)</f>
        <v>11492.3</v>
      </c>
      <c r="J131" s="30">
        <f t="shared" si="34"/>
        <v>-1252.7000000000007</v>
      </c>
      <c r="K131" s="30"/>
      <c r="L131" s="30">
        <f t="shared" si="35"/>
        <v>-10.900341968100387</v>
      </c>
      <c r="M131" s="5">
        <f>N(12745)</f>
        <v>12745</v>
      </c>
      <c r="N131" s="30">
        <f>N(30000)</f>
        <v>30000</v>
      </c>
      <c r="O131" s="30">
        <f t="shared" si="36"/>
        <v>17255</v>
      </c>
      <c r="P131" s="30"/>
      <c r="Q131" s="30">
        <f t="shared" si="37"/>
        <v>57.516666666666666</v>
      </c>
      <c r="R131" s="32">
        <f>N(11492.3)</f>
        <v>11492.3</v>
      </c>
      <c r="S131" s="33">
        <f t="shared" si="38"/>
        <v>-1252.7000000000007</v>
      </c>
      <c r="T131" s="34"/>
      <c r="U131" s="34">
        <f t="shared" si="39"/>
        <v>-10.900341968100387</v>
      </c>
    </row>
    <row r="132" spans="1:21" hidden="1" outlineLevel="1" collapsed="1">
      <c r="A132" s="22"/>
      <c r="B132" s="35" t="str">
        <f>"    "&amp;"Verktøy, inventar og driftsmateriell"</f>
        <v xml:space="preserve">    Verktøy, inventar og driftsmateriell</v>
      </c>
      <c r="C132" s="36"/>
      <c r="D132" s="37">
        <f>SUM(D128:D131)</f>
        <v>180299.28</v>
      </c>
      <c r="E132" s="33">
        <f>SUM(E128:E131)</f>
        <v>121100</v>
      </c>
      <c r="F132" s="33">
        <f t="shared" si="32"/>
        <v>-59199.28</v>
      </c>
      <c r="G132" s="33"/>
      <c r="H132" s="38">
        <f t="shared" si="33"/>
        <v>-48.884624277456645</v>
      </c>
      <c r="I132" s="39">
        <f>SUM(I128:I131)</f>
        <v>146064.84</v>
      </c>
      <c r="J132" s="33">
        <f t="shared" si="34"/>
        <v>-34234.44</v>
      </c>
      <c r="K132" s="33"/>
      <c r="L132" s="33">
        <f t="shared" si="35"/>
        <v>-23.437837606914847</v>
      </c>
      <c r="M132" s="37">
        <f>SUM(M128:M131)</f>
        <v>180299.28</v>
      </c>
      <c r="N132" s="33">
        <f>SUM(N128:N131)</f>
        <v>121100</v>
      </c>
      <c r="O132" s="33">
        <f t="shared" si="36"/>
        <v>-59199.28</v>
      </c>
      <c r="P132" s="33"/>
      <c r="Q132" s="33">
        <f t="shared" si="37"/>
        <v>-48.884624277456645</v>
      </c>
      <c r="R132" s="39">
        <f>SUM(R128:R131)</f>
        <v>146064.84</v>
      </c>
      <c r="S132" s="33">
        <f t="shared" si="38"/>
        <v>-34234.44</v>
      </c>
      <c r="T132" s="34"/>
      <c r="U132" s="34">
        <f t="shared" si="39"/>
        <v>-23.437837606914847</v>
      </c>
    </row>
    <row r="133" spans="1:21" hidden="1" outlineLevel="2">
      <c r="A133" s="22"/>
      <c r="B133" s="28">
        <v>6701</v>
      </c>
      <c r="C133" s="29" t="s">
        <v>156</v>
      </c>
      <c r="D133" s="5">
        <f>N(233066.88)</f>
        <v>233066.88</v>
      </c>
      <c r="E133" s="30">
        <f>N(250000)</f>
        <v>250000</v>
      </c>
      <c r="F133" s="30">
        <f t="shared" si="32"/>
        <v>16933.119999999995</v>
      </c>
      <c r="G133" s="30"/>
      <c r="H133" s="31">
        <f t="shared" si="33"/>
        <v>6.7732479999999979</v>
      </c>
      <c r="I133" s="32">
        <f>N(201791.06)</f>
        <v>201791.06</v>
      </c>
      <c r="J133" s="30">
        <f t="shared" si="34"/>
        <v>-31275.820000000007</v>
      </c>
      <c r="K133" s="30"/>
      <c r="L133" s="30">
        <f t="shared" si="35"/>
        <v>-15.499110812936911</v>
      </c>
      <c r="M133" s="5">
        <f>N(233066.88)</f>
        <v>233066.88</v>
      </c>
      <c r="N133" s="30">
        <f>N(250000)</f>
        <v>250000</v>
      </c>
      <c r="O133" s="30">
        <f t="shared" si="36"/>
        <v>16933.119999999995</v>
      </c>
      <c r="P133" s="30"/>
      <c r="Q133" s="30">
        <f t="shared" si="37"/>
        <v>6.7732479999999979</v>
      </c>
      <c r="R133" s="32">
        <f>N(201791.06)</f>
        <v>201791.06</v>
      </c>
      <c r="S133" s="33">
        <f t="shared" si="38"/>
        <v>-31275.820000000007</v>
      </c>
      <c r="T133" s="34"/>
      <c r="U133" s="34">
        <f t="shared" si="39"/>
        <v>-15.499110812936911</v>
      </c>
    </row>
    <row r="134" spans="1:21" hidden="1" outlineLevel="2">
      <c r="A134" s="22"/>
      <c r="B134" s="28">
        <v>6705</v>
      </c>
      <c r="C134" s="29" t="s">
        <v>157</v>
      </c>
      <c r="D134" s="5">
        <f>N(876514.07)</f>
        <v>876514.07</v>
      </c>
      <c r="E134" s="30">
        <f>N(1035000)</f>
        <v>1035000</v>
      </c>
      <c r="F134" s="30">
        <f t="shared" si="32"/>
        <v>158485.93000000005</v>
      </c>
      <c r="G134" s="30"/>
      <c r="H134" s="31">
        <f t="shared" si="33"/>
        <v>15.312650241545899</v>
      </c>
      <c r="I134" s="32">
        <f>N(919101.36)</f>
        <v>919101.36</v>
      </c>
      <c r="J134" s="30">
        <f t="shared" si="34"/>
        <v>42587.290000000037</v>
      </c>
      <c r="K134" s="30"/>
      <c r="L134" s="30">
        <f t="shared" si="35"/>
        <v>4.6335792605072461</v>
      </c>
      <c r="M134" s="5">
        <f>N(876514.07)</f>
        <v>876514.07</v>
      </c>
      <c r="N134" s="30">
        <f>N(1035000)</f>
        <v>1035000</v>
      </c>
      <c r="O134" s="30">
        <f t="shared" si="36"/>
        <v>158485.93000000005</v>
      </c>
      <c r="P134" s="30"/>
      <c r="Q134" s="30">
        <f t="shared" si="37"/>
        <v>15.312650241545899</v>
      </c>
      <c r="R134" s="32">
        <f>N(919101.36)</f>
        <v>919101.36</v>
      </c>
      <c r="S134" s="33">
        <f t="shared" si="38"/>
        <v>42587.290000000037</v>
      </c>
      <c r="T134" s="34"/>
      <c r="U134" s="34">
        <f t="shared" si="39"/>
        <v>4.6335792605072461</v>
      </c>
    </row>
    <row r="135" spans="1:21" hidden="1" outlineLevel="2">
      <c r="A135" s="22"/>
      <c r="B135" s="28">
        <v>6790</v>
      </c>
      <c r="C135" s="29" t="s">
        <v>158</v>
      </c>
      <c r="D135" s="5">
        <f>N(488218.27)</f>
        <v>488218.27</v>
      </c>
      <c r="E135" s="30">
        <f>N(797000)</f>
        <v>797000</v>
      </c>
      <c r="F135" s="30">
        <f t="shared" si="32"/>
        <v>308781.73</v>
      </c>
      <c r="G135" s="30"/>
      <c r="H135" s="31">
        <f t="shared" si="33"/>
        <v>38.743002509410289</v>
      </c>
      <c r="I135" s="32">
        <f>N(1252627.01)</f>
        <v>1252627.01</v>
      </c>
      <c r="J135" s="30">
        <f t="shared" si="34"/>
        <v>764408.74</v>
      </c>
      <c r="K135" s="30"/>
      <c r="L135" s="30">
        <f t="shared" si="35"/>
        <v>61.024449728255497</v>
      </c>
      <c r="M135" s="5">
        <f>N(488218.27)</f>
        <v>488218.27</v>
      </c>
      <c r="N135" s="30">
        <f>N(797000)</f>
        <v>797000</v>
      </c>
      <c r="O135" s="30">
        <f t="shared" si="36"/>
        <v>308781.73</v>
      </c>
      <c r="P135" s="30"/>
      <c r="Q135" s="30">
        <f t="shared" si="37"/>
        <v>38.743002509410289</v>
      </c>
      <c r="R135" s="32">
        <f>N(1252627.01)</f>
        <v>1252627.01</v>
      </c>
      <c r="S135" s="33">
        <f t="shared" si="38"/>
        <v>764408.74</v>
      </c>
      <c r="T135" s="34"/>
      <c r="U135" s="34">
        <f t="shared" si="39"/>
        <v>61.024449728255497</v>
      </c>
    </row>
    <row r="136" spans="1:21" hidden="1" outlineLevel="2">
      <c r="A136" s="22"/>
      <c r="B136" s="28">
        <v>6792</v>
      </c>
      <c r="C136" s="29" t="s">
        <v>159</v>
      </c>
      <c r="D136" s="5">
        <f>N(0)</f>
        <v>0</v>
      </c>
      <c r="E136" s="30">
        <f>N(0)</f>
        <v>0</v>
      </c>
      <c r="F136" s="30">
        <f t="shared" si="32"/>
        <v>0</v>
      </c>
      <c r="G136" s="30"/>
      <c r="H136" s="31">
        <f t="shared" si="33"/>
        <v>0</v>
      </c>
      <c r="I136" s="32">
        <f>N(0)</f>
        <v>0</v>
      </c>
      <c r="J136" s="30">
        <f t="shared" si="34"/>
        <v>0</v>
      </c>
      <c r="K136" s="30"/>
      <c r="L136" s="30">
        <f t="shared" si="35"/>
        <v>0</v>
      </c>
      <c r="M136" s="5">
        <f>N(0)</f>
        <v>0</v>
      </c>
      <c r="N136" s="30">
        <f>N(0)</f>
        <v>0</v>
      </c>
      <c r="O136" s="30">
        <f t="shared" si="36"/>
        <v>0</v>
      </c>
      <c r="P136" s="30"/>
      <c r="Q136" s="30">
        <f t="shared" si="37"/>
        <v>0</v>
      </c>
      <c r="R136" s="32">
        <f>N(0)</f>
        <v>0</v>
      </c>
      <c r="S136" s="33">
        <f t="shared" si="38"/>
        <v>0</v>
      </c>
      <c r="T136" s="34"/>
      <c r="U136" s="34">
        <f t="shared" si="39"/>
        <v>0</v>
      </c>
    </row>
    <row r="137" spans="1:21" hidden="1" outlineLevel="1" collapsed="1">
      <c r="A137" s="22"/>
      <c r="B137" s="35" t="str">
        <f>"    "&amp;"Fremmed tjeneste"</f>
        <v xml:space="preserve">    Fremmed tjeneste</v>
      </c>
      <c r="C137" s="36"/>
      <c r="D137" s="37">
        <f>SUM(D133:D136)</f>
        <v>1597799.22</v>
      </c>
      <c r="E137" s="33">
        <f>SUM(E133:E136)</f>
        <v>2082000</v>
      </c>
      <c r="F137" s="33">
        <f t="shared" si="32"/>
        <v>484200.78</v>
      </c>
      <c r="G137" s="33"/>
      <c r="H137" s="38">
        <f t="shared" si="33"/>
        <v>23.256521613832852</v>
      </c>
      <c r="I137" s="39">
        <f>SUM(I133:I136)</f>
        <v>2373519.4299999997</v>
      </c>
      <c r="J137" s="33">
        <f t="shared" si="34"/>
        <v>775720.20999999973</v>
      </c>
      <c r="K137" s="33"/>
      <c r="L137" s="33">
        <f t="shared" si="35"/>
        <v>32.682277642024602</v>
      </c>
      <c r="M137" s="37">
        <f>SUM(M133:M136)</f>
        <v>1597799.22</v>
      </c>
      <c r="N137" s="33">
        <f>SUM(N133:N136)</f>
        <v>2082000</v>
      </c>
      <c r="O137" s="33">
        <f t="shared" si="36"/>
        <v>484200.78</v>
      </c>
      <c r="P137" s="33"/>
      <c r="Q137" s="33">
        <f t="shared" si="37"/>
        <v>23.256521613832852</v>
      </c>
      <c r="R137" s="39">
        <f>SUM(R133:R136)</f>
        <v>2373519.4299999997</v>
      </c>
      <c r="S137" s="33">
        <f t="shared" si="38"/>
        <v>775720.20999999973</v>
      </c>
      <c r="T137" s="34"/>
      <c r="U137" s="34">
        <f t="shared" si="39"/>
        <v>32.682277642024602</v>
      </c>
    </row>
    <row r="138" spans="1:21" hidden="1" outlineLevel="2">
      <c r="A138" s="22"/>
      <c r="B138" s="28">
        <v>6800</v>
      </c>
      <c r="C138" s="29" t="s">
        <v>160</v>
      </c>
      <c r="D138" s="5">
        <f>N(32660.06)</f>
        <v>32660.06</v>
      </c>
      <c r="E138" s="30">
        <f>N(23000)</f>
        <v>23000</v>
      </c>
      <c r="F138" s="30">
        <f t="shared" si="32"/>
        <v>-9660.0600000000013</v>
      </c>
      <c r="G138" s="30"/>
      <c r="H138" s="31">
        <f t="shared" si="33"/>
        <v>-42.000260869565224</v>
      </c>
      <c r="I138" s="32">
        <f>N(38113.12)</f>
        <v>38113.120000000003</v>
      </c>
      <c r="J138" s="30">
        <f t="shared" si="34"/>
        <v>5453.0600000000013</v>
      </c>
      <c r="K138" s="30"/>
      <c r="L138" s="30">
        <f t="shared" si="35"/>
        <v>14.307566528271632</v>
      </c>
      <c r="M138" s="5">
        <f>N(32660.06)</f>
        <v>32660.06</v>
      </c>
      <c r="N138" s="30">
        <f>N(23000)</f>
        <v>23000</v>
      </c>
      <c r="O138" s="30">
        <f t="shared" si="36"/>
        <v>-9660.0600000000013</v>
      </c>
      <c r="P138" s="30"/>
      <c r="Q138" s="30">
        <f t="shared" si="37"/>
        <v>-42.000260869565224</v>
      </c>
      <c r="R138" s="32">
        <f>N(38113.12)</f>
        <v>38113.120000000003</v>
      </c>
      <c r="S138" s="33">
        <f t="shared" si="38"/>
        <v>5453.0600000000013</v>
      </c>
      <c r="T138" s="34"/>
      <c r="U138" s="34">
        <f t="shared" si="39"/>
        <v>14.307566528271632</v>
      </c>
    </row>
    <row r="139" spans="1:21" hidden="1" outlineLevel="2">
      <c r="A139" s="22"/>
      <c r="B139" s="28">
        <v>6820</v>
      </c>
      <c r="C139" s="29" t="s">
        <v>161</v>
      </c>
      <c r="D139" s="5">
        <f>N(17102.25)</f>
        <v>17102.25</v>
      </c>
      <c r="E139" s="30">
        <f>N(170000)</f>
        <v>170000</v>
      </c>
      <c r="F139" s="30">
        <f t="shared" si="32"/>
        <v>152897.75</v>
      </c>
      <c r="G139" s="30"/>
      <c r="H139" s="31">
        <f t="shared" si="33"/>
        <v>89.939852941176468</v>
      </c>
      <c r="I139" s="32">
        <f>N(9172.3)</f>
        <v>9172.2999999999993</v>
      </c>
      <c r="J139" s="30">
        <f t="shared" si="34"/>
        <v>-7929.9500000000007</v>
      </c>
      <c r="K139" s="30"/>
      <c r="L139" s="30">
        <f t="shared" si="35"/>
        <v>-86.455414672437684</v>
      </c>
      <c r="M139" s="5">
        <f>N(17102.25)</f>
        <v>17102.25</v>
      </c>
      <c r="N139" s="30">
        <f>N(170000)</f>
        <v>170000</v>
      </c>
      <c r="O139" s="30">
        <f t="shared" si="36"/>
        <v>152897.75</v>
      </c>
      <c r="P139" s="30"/>
      <c r="Q139" s="30">
        <f t="shared" si="37"/>
        <v>89.939852941176468</v>
      </c>
      <c r="R139" s="32">
        <f>N(9172.3)</f>
        <v>9172.2999999999993</v>
      </c>
      <c r="S139" s="33">
        <f t="shared" si="38"/>
        <v>-7929.9500000000007</v>
      </c>
      <c r="T139" s="34"/>
      <c r="U139" s="34">
        <f t="shared" si="39"/>
        <v>-86.455414672437684</v>
      </c>
    </row>
    <row r="140" spans="1:21" hidden="1" outlineLevel="2">
      <c r="A140" s="22"/>
      <c r="B140" s="28">
        <v>6840</v>
      </c>
      <c r="C140" s="29" t="s">
        <v>162</v>
      </c>
      <c r="D140" s="5">
        <f>N(36602.28)</f>
        <v>36602.28</v>
      </c>
      <c r="E140" s="30">
        <f>N(34000)</f>
        <v>34000</v>
      </c>
      <c r="F140" s="30">
        <f t="shared" si="32"/>
        <v>-2602.2799999999988</v>
      </c>
      <c r="G140" s="30"/>
      <c r="H140" s="31">
        <f t="shared" si="33"/>
        <v>-7.6537647058823497</v>
      </c>
      <c r="I140" s="32">
        <f>N(21119)</f>
        <v>21119</v>
      </c>
      <c r="J140" s="30">
        <f t="shared" si="34"/>
        <v>-15483.279999999999</v>
      </c>
      <c r="K140" s="30"/>
      <c r="L140" s="30">
        <f t="shared" si="35"/>
        <v>-73.314456176902311</v>
      </c>
      <c r="M140" s="5">
        <f>N(36602.28)</f>
        <v>36602.28</v>
      </c>
      <c r="N140" s="30">
        <f>N(34000)</f>
        <v>34000</v>
      </c>
      <c r="O140" s="30">
        <f t="shared" si="36"/>
        <v>-2602.2799999999988</v>
      </c>
      <c r="P140" s="30"/>
      <c r="Q140" s="30">
        <f t="shared" si="37"/>
        <v>-7.6537647058823497</v>
      </c>
      <c r="R140" s="32">
        <f>N(21119)</f>
        <v>21119</v>
      </c>
      <c r="S140" s="33">
        <f t="shared" si="38"/>
        <v>-15483.279999999999</v>
      </c>
      <c r="T140" s="34"/>
      <c r="U140" s="34">
        <f t="shared" si="39"/>
        <v>-73.314456176902311</v>
      </c>
    </row>
    <row r="141" spans="1:21" hidden="1" outlineLevel="2">
      <c r="A141" s="22"/>
      <c r="B141" s="28">
        <v>6842</v>
      </c>
      <c r="C141" s="29" t="s">
        <v>163</v>
      </c>
      <c r="D141" s="5">
        <f>N(0)</f>
        <v>0</v>
      </c>
      <c r="E141" s="30">
        <f>N(39520)</f>
        <v>39520</v>
      </c>
      <c r="F141" s="30">
        <f t="shared" si="32"/>
        <v>39520</v>
      </c>
      <c r="G141" s="30"/>
      <c r="H141" s="31">
        <f t="shared" si="33"/>
        <v>100</v>
      </c>
      <c r="I141" s="32">
        <f>N(0)</f>
        <v>0</v>
      </c>
      <c r="J141" s="30">
        <f t="shared" si="34"/>
        <v>0</v>
      </c>
      <c r="K141" s="30"/>
      <c r="L141" s="30">
        <f t="shared" si="35"/>
        <v>0</v>
      </c>
      <c r="M141" s="5">
        <f>N(0)</f>
        <v>0</v>
      </c>
      <c r="N141" s="30">
        <f>N(39520)</f>
        <v>39520</v>
      </c>
      <c r="O141" s="30">
        <f t="shared" si="36"/>
        <v>39520</v>
      </c>
      <c r="P141" s="30"/>
      <c r="Q141" s="30">
        <f t="shared" si="37"/>
        <v>100</v>
      </c>
      <c r="R141" s="32">
        <f>N(0)</f>
        <v>0</v>
      </c>
      <c r="S141" s="33">
        <f t="shared" si="38"/>
        <v>0</v>
      </c>
      <c r="T141" s="34"/>
      <c r="U141" s="34">
        <f t="shared" si="39"/>
        <v>0</v>
      </c>
    </row>
    <row r="142" spans="1:21" hidden="1" outlineLevel="2">
      <c r="A142" s="22"/>
      <c r="B142" s="28">
        <v>6860</v>
      </c>
      <c r="C142" s="29" t="s">
        <v>164</v>
      </c>
      <c r="D142" s="5">
        <f>N(77058.8)</f>
        <v>77058.8</v>
      </c>
      <c r="E142" s="30">
        <f>N(400000)</f>
        <v>400000</v>
      </c>
      <c r="F142" s="30">
        <f t="shared" si="32"/>
        <v>322941.2</v>
      </c>
      <c r="G142" s="30"/>
      <c r="H142" s="31">
        <f t="shared" si="33"/>
        <v>80.735299999999995</v>
      </c>
      <c r="I142" s="32">
        <f>N(272242.19)</f>
        <v>272242.19</v>
      </c>
      <c r="J142" s="30">
        <f t="shared" si="34"/>
        <v>195183.39</v>
      </c>
      <c r="K142" s="30"/>
      <c r="L142" s="30">
        <f t="shared" si="35"/>
        <v>71.694761932380871</v>
      </c>
      <c r="M142" s="5">
        <f>N(77058.8)</f>
        <v>77058.8</v>
      </c>
      <c r="N142" s="30">
        <f>N(400000)</f>
        <v>400000</v>
      </c>
      <c r="O142" s="30">
        <f t="shared" si="36"/>
        <v>322941.2</v>
      </c>
      <c r="P142" s="30"/>
      <c r="Q142" s="30">
        <f t="shared" si="37"/>
        <v>80.735299999999995</v>
      </c>
      <c r="R142" s="32">
        <f>N(272242.19)</f>
        <v>272242.19</v>
      </c>
      <c r="S142" s="33">
        <f t="shared" si="38"/>
        <v>195183.39</v>
      </c>
      <c r="T142" s="34"/>
      <c r="U142" s="34">
        <f t="shared" si="39"/>
        <v>71.694761932380871</v>
      </c>
    </row>
    <row r="143" spans="1:21" hidden="1" outlineLevel="2">
      <c r="A143" s="22"/>
      <c r="B143" s="28">
        <v>6870</v>
      </c>
      <c r="C143" s="29" t="s">
        <v>165</v>
      </c>
      <c r="D143" s="5">
        <f>N(10316.71)</f>
        <v>10316.709999999999</v>
      </c>
      <c r="E143" s="30">
        <f>N(10000)</f>
        <v>10000</v>
      </c>
      <c r="F143" s="30">
        <f t="shared" si="32"/>
        <v>-316.70999999999913</v>
      </c>
      <c r="G143" s="30"/>
      <c r="H143" s="31">
        <f t="shared" si="33"/>
        <v>-3.1670999999999911</v>
      </c>
      <c r="I143" s="32">
        <f>N(3882.8)</f>
        <v>3882.8</v>
      </c>
      <c r="J143" s="30">
        <f t="shared" si="34"/>
        <v>-6433.9099999999989</v>
      </c>
      <c r="K143" s="30"/>
      <c r="L143" s="30">
        <f t="shared" si="35"/>
        <v>-165.70284330895225</v>
      </c>
      <c r="M143" s="5">
        <f>N(10316.71)</f>
        <v>10316.709999999999</v>
      </c>
      <c r="N143" s="30">
        <f>N(10000)</f>
        <v>10000</v>
      </c>
      <c r="O143" s="30">
        <f t="shared" si="36"/>
        <v>-316.70999999999913</v>
      </c>
      <c r="P143" s="30"/>
      <c r="Q143" s="30">
        <f t="shared" si="37"/>
        <v>-3.1670999999999911</v>
      </c>
      <c r="R143" s="32">
        <f>N(3882.8)</f>
        <v>3882.8</v>
      </c>
      <c r="S143" s="33">
        <f t="shared" si="38"/>
        <v>-6433.9099999999989</v>
      </c>
      <c r="T143" s="34"/>
      <c r="U143" s="34">
        <f t="shared" si="39"/>
        <v>-165.70284330895225</v>
      </c>
    </row>
    <row r="144" spans="1:21" hidden="1" outlineLevel="2">
      <c r="A144" s="22"/>
      <c r="B144" s="28">
        <v>6890</v>
      </c>
      <c r="C144" s="29" t="s">
        <v>166</v>
      </c>
      <c r="D144" s="5">
        <f>N(46995.06)</f>
        <v>46995.06</v>
      </c>
      <c r="E144" s="30">
        <f>N(22000)</f>
        <v>22000</v>
      </c>
      <c r="F144" s="30">
        <f t="shared" si="32"/>
        <v>-24995.059999999998</v>
      </c>
      <c r="G144" s="30"/>
      <c r="H144" s="31">
        <f t="shared" si="33"/>
        <v>-113.61390909090909</v>
      </c>
      <c r="I144" s="32">
        <f>N(27797.76)</f>
        <v>27797.759999999998</v>
      </c>
      <c r="J144" s="30">
        <f t="shared" si="34"/>
        <v>-19197.3</v>
      </c>
      <c r="K144" s="30"/>
      <c r="L144" s="30">
        <f t="shared" si="35"/>
        <v>-69.060600566376579</v>
      </c>
      <c r="M144" s="5">
        <f>N(46995.06)</f>
        <v>46995.06</v>
      </c>
      <c r="N144" s="30">
        <f>N(22000)</f>
        <v>22000</v>
      </c>
      <c r="O144" s="30">
        <f t="shared" si="36"/>
        <v>-24995.059999999998</v>
      </c>
      <c r="P144" s="30"/>
      <c r="Q144" s="30">
        <f t="shared" si="37"/>
        <v>-113.61390909090909</v>
      </c>
      <c r="R144" s="32">
        <f>N(27797.76)</f>
        <v>27797.759999999998</v>
      </c>
      <c r="S144" s="33">
        <f t="shared" si="38"/>
        <v>-19197.3</v>
      </c>
      <c r="T144" s="34"/>
      <c r="U144" s="34">
        <f t="shared" si="39"/>
        <v>-69.060600566376579</v>
      </c>
    </row>
    <row r="145" spans="1:21" hidden="1" outlineLevel="1" collapsed="1">
      <c r="A145" s="22"/>
      <c r="B145" s="35" t="str">
        <f>"    "&amp;"Kontor, oppdatering o.l."</f>
        <v xml:space="preserve">    Kontor, oppdatering o.l.</v>
      </c>
      <c r="C145" s="36"/>
      <c r="D145" s="37">
        <f>SUM(D138:D144)</f>
        <v>220735.16</v>
      </c>
      <c r="E145" s="33">
        <f>SUM(E138:E144)</f>
        <v>698520</v>
      </c>
      <c r="F145" s="33">
        <f t="shared" si="32"/>
        <v>477784.83999999997</v>
      </c>
      <c r="G145" s="33"/>
      <c r="H145" s="38">
        <f t="shared" si="33"/>
        <v>68.399593426100893</v>
      </c>
      <c r="I145" s="39">
        <f>SUM(I138:I144)</f>
        <v>372327.17</v>
      </c>
      <c r="J145" s="33">
        <f t="shared" si="34"/>
        <v>151592.00999999998</v>
      </c>
      <c r="K145" s="33"/>
      <c r="L145" s="33">
        <f t="shared" si="35"/>
        <v>40.714732153444508</v>
      </c>
      <c r="M145" s="37">
        <f>SUM(M138:M144)</f>
        <v>220735.16</v>
      </c>
      <c r="N145" s="33">
        <f>SUM(N138:N144)</f>
        <v>698520</v>
      </c>
      <c r="O145" s="33">
        <f t="shared" si="36"/>
        <v>477784.83999999997</v>
      </c>
      <c r="P145" s="33"/>
      <c r="Q145" s="33">
        <f t="shared" si="37"/>
        <v>68.399593426100893</v>
      </c>
      <c r="R145" s="39">
        <f>SUM(R138:R144)</f>
        <v>372327.17</v>
      </c>
      <c r="S145" s="33">
        <f t="shared" si="38"/>
        <v>151592.00999999998</v>
      </c>
      <c r="T145" s="34"/>
      <c r="U145" s="34">
        <f t="shared" si="39"/>
        <v>40.714732153444508</v>
      </c>
    </row>
    <row r="146" spans="1:21" hidden="1" outlineLevel="2">
      <c r="A146" s="22"/>
      <c r="B146" s="28">
        <v>6900</v>
      </c>
      <c r="C146" s="29" t="s">
        <v>167</v>
      </c>
      <c r="D146" s="5">
        <f>N(53434.94)</f>
        <v>53434.94</v>
      </c>
      <c r="E146" s="30">
        <f>N(55200)</f>
        <v>55200</v>
      </c>
      <c r="F146" s="30">
        <f t="shared" si="32"/>
        <v>1765.0599999999977</v>
      </c>
      <c r="G146" s="30"/>
      <c r="H146" s="31">
        <f t="shared" si="33"/>
        <v>3.1975724637681116</v>
      </c>
      <c r="I146" s="32">
        <f>N(50034.63)</f>
        <v>50034.63</v>
      </c>
      <c r="J146" s="30">
        <f t="shared" si="34"/>
        <v>-3400.3100000000049</v>
      </c>
      <c r="K146" s="30"/>
      <c r="L146" s="30">
        <f t="shared" si="35"/>
        <v>-6.7959131505519377</v>
      </c>
      <c r="M146" s="5">
        <f>N(53434.94)</f>
        <v>53434.94</v>
      </c>
      <c r="N146" s="30">
        <f>N(55200)</f>
        <v>55200</v>
      </c>
      <c r="O146" s="30">
        <f t="shared" si="36"/>
        <v>1765.0599999999977</v>
      </c>
      <c r="P146" s="30"/>
      <c r="Q146" s="30">
        <f t="shared" si="37"/>
        <v>3.1975724637681116</v>
      </c>
      <c r="R146" s="32">
        <f>N(50034.63)</f>
        <v>50034.63</v>
      </c>
      <c r="S146" s="33">
        <f t="shared" si="38"/>
        <v>-3400.3100000000049</v>
      </c>
      <c r="T146" s="34"/>
      <c r="U146" s="34">
        <f t="shared" si="39"/>
        <v>-6.7959131505519377</v>
      </c>
    </row>
    <row r="147" spans="1:21" hidden="1" outlineLevel="2">
      <c r="A147" s="22"/>
      <c r="B147" s="28">
        <v>6901</v>
      </c>
      <c r="C147" s="29" t="s">
        <v>168</v>
      </c>
      <c r="D147" s="5">
        <f>N(0)</f>
        <v>0</v>
      </c>
      <c r="E147" s="30">
        <f>N(0)</f>
        <v>0</v>
      </c>
      <c r="F147" s="30">
        <f t="shared" si="32"/>
        <v>0</v>
      </c>
      <c r="G147" s="30"/>
      <c r="H147" s="31">
        <f t="shared" si="33"/>
        <v>0</v>
      </c>
      <c r="I147" s="32">
        <f>N(9212.5)</f>
        <v>9212.5</v>
      </c>
      <c r="J147" s="30">
        <f t="shared" si="34"/>
        <v>9212.5</v>
      </c>
      <c r="K147" s="30"/>
      <c r="L147" s="30">
        <f t="shared" si="35"/>
        <v>100</v>
      </c>
      <c r="M147" s="5">
        <f>N(0)</f>
        <v>0</v>
      </c>
      <c r="N147" s="30">
        <f>N(0)</f>
        <v>0</v>
      </c>
      <c r="O147" s="30">
        <f t="shared" si="36"/>
        <v>0</v>
      </c>
      <c r="P147" s="30"/>
      <c r="Q147" s="30">
        <f t="shared" si="37"/>
        <v>0</v>
      </c>
      <c r="R147" s="32">
        <f>N(9212.5)</f>
        <v>9212.5</v>
      </c>
      <c r="S147" s="33">
        <f t="shared" si="38"/>
        <v>9212.5</v>
      </c>
      <c r="T147" s="34"/>
      <c r="U147" s="34">
        <f t="shared" si="39"/>
        <v>100</v>
      </c>
    </row>
    <row r="148" spans="1:21" hidden="1" outlineLevel="2">
      <c r="A148" s="22"/>
      <c r="B148" s="28">
        <v>6902</v>
      </c>
      <c r="C148" s="29" t="s">
        <v>169</v>
      </c>
      <c r="D148" s="5">
        <f>N(392.6)</f>
        <v>392.6</v>
      </c>
      <c r="E148" s="30">
        <f>N(48000)</f>
        <v>48000</v>
      </c>
      <c r="F148" s="30">
        <f t="shared" si="32"/>
        <v>47607.4</v>
      </c>
      <c r="G148" s="30"/>
      <c r="H148" s="31">
        <f t="shared" si="33"/>
        <v>99.182083333333338</v>
      </c>
      <c r="I148" s="32">
        <f>N(15875)</f>
        <v>15875</v>
      </c>
      <c r="J148" s="30">
        <f t="shared" si="34"/>
        <v>15482.4</v>
      </c>
      <c r="K148" s="30"/>
      <c r="L148" s="30">
        <f t="shared" si="35"/>
        <v>97.526929133858275</v>
      </c>
      <c r="M148" s="5">
        <f>N(392.6)</f>
        <v>392.6</v>
      </c>
      <c r="N148" s="30">
        <f>N(48000)</f>
        <v>48000</v>
      </c>
      <c r="O148" s="30">
        <f t="shared" si="36"/>
        <v>47607.4</v>
      </c>
      <c r="P148" s="30"/>
      <c r="Q148" s="30">
        <f t="shared" si="37"/>
        <v>99.182083333333338</v>
      </c>
      <c r="R148" s="32">
        <f>N(15875)</f>
        <v>15875</v>
      </c>
      <c r="S148" s="33">
        <f t="shared" si="38"/>
        <v>15482.4</v>
      </c>
      <c r="T148" s="34"/>
      <c r="U148" s="34">
        <f t="shared" si="39"/>
        <v>97.526929133858275</v>
      </c>
    </row>
    <row r="149" spans="1:21" hidden="1" outlineLevel="2">
      <c r="A149" s="22"/>
      <c r="B149" s="28">
        <v>6905</v>
      </c>
      <c r="C149" s="29" t="s">
        <v>170</v>
      </c>
      <c r="D149" s="5">
        <f>N(130681.64)</f>
        <v>130681.64</v>
      </c>
      <c r="E149" s="30">
        <f>N(20700)</f>
        <v>20700</v>
      </c>
      <c r="F149" s="30">
        <f t="shared" si="32"/>
        <v>-109981.64</v>
      </c>
      <c r="G149" s="30"/>
      <c r="H149" s="31">
        <f t="shared" si="33"/>
        <v>-531.31227053140094</v>
      </c>
      <c r="I149" s="32">
        <f>N(242237.31)</f>
        <v>242237.31</v>
      </c>
      <c r="J149" s="30">
        <f t="shared" si="34"/>
        <v>111555.67</v>
      </c>
      <c r="K149" s="30"/>
      <c r="L149" s="30">
        <f t="shared" si="35"/>
        <v>46.052224572672145</v>
      </c>
      <c r="M149" s="5">
        <f>N(130681.64)</f>
        <v>130681.64</v>
      </c>
      <c r="N149" s="30">
        <f>N(20700)</f>
        <v>20700</v>
      </c>
      <c r="O149" s="30">
        <f t="shared" si="36"/>
        <v>-109981.64</v>
      </c>
      <c r="P149" s="30"/>
      <c r="Q149" s="30">
        <f t="shared" si="37"/>
        <v>-531.31227053140094</v>
      </c>
      <c r="R149" s="32">
        <f>N(242237.31)</f>
        <v>242237.31</v>
      </c>
      <c r="S149" s="33">
        <f t="shared" si="38"/>
        <v>111555.67</v>
      </c>
      <c r="T149" s="34"/>
      <c r="U149" s="34">
        <f t="shared" si="39"/>
        <v>46.052224572672145</v>
      </c>
    </row>
    <row r="150" spans="1:21" hidden="1" outlineLevel="2">
      <c r="A150" s="22"/>
      <c r="B150" s="28">
        <v>6940</v>
      </c>
      <c r="C150" s="29" t="s">
        <v>171</v>
      </c>
      <c r="D150" s="5">
        <f>N(100269.64)</f>
        <v>100269.64</v>
      </c>
      <c r="E150" s="30">
        <f>N(74800)</f>
        <v>74800</v>
      </c>
      <c r="F150" s="30">
        <f t="shared" si="32"/>
        <v>-25469.64</v>
      </c>
      <c r="G150" s="30"/>
      <c r="H150" s="31">
        <f t="shared" si="33"/>
        <v>-34.05032085561497</v>
      </c>
      <c r="I150" s="32">
        <f>N(54956.23)</f>
        <v>54956.23</v>
      </c>
      <c r="J150" s="30">
        <f t="shared" si="34"/>
        <v>-45313.409999999996</v>
      </c>
      <c r="K150" s="30"/>
      <c r="L150" s="30">
        <f t="shared" si="35"/>
        <v>-82.453636284730592</v>
      </c>
      <c r="M150" s="5">
        <f>N(100269.64)</f>
        <v>100269.64</v>
      </c>
      <c r="N150" s="30">
        <f>N(74800)</f>
        <v>74800</v>
      </c>
      <c r="O150" s="30">
        <f t="shared" si="36"/>
        <v>-25469.64</v>
      </c>
      <c r="P150" s="30"/>
      <c r="Q150" s="30">
        <f t="shared" si="37"/>
        <v>-34.05032085561497</v>
      </c>
      <c r="R150" s="32">
        <f>N(54956.23)</f>
        <v>54956.23</v>
      </c>
      <c r="S150" s="33">
        <f t="shared" si="38"/>
        <v>-45313.409999999996</v>
      </c>
      <c r="T150" s="34"/>
      <c r="U150" s="34">
        <f t="shared" si="39"/>
        <v>-82.453636284730592</v>
      </c>
    </row>
    <row r="151" spans="1:21" hidden="1" outlineLevel="1" collapsed="1">
      <c r="A151" s="22"/>
      <c r="B151" s="35" t="str">
        <f>"    "&amp;"Telefon og porto o.l."</f>
        <v xml:space="preserve">    Telefon og porto o.l.</v>
      </c>
      <c r="C151" s="36"/>
      <c r="D151" s="37">
        <f>SUM(D146:D150)</f>
        <v>284778.82</v>
      </c>
      <c r="E151" s="33">
        <f>SUM(E146:E150)</f>
        <v>198700</v>
      </c>
      <c r="F151" s="33">
        <f t="shared" si="32"/>
        <v>-86078.82</v>
      </c>
      <c r="G151" s="33"/>
      <c r="H151" s="38">
        <f t="shared" si="33"/>
        <v>-43.320996477101154</v>
      </c>
      <c r="I151" s="39">
        <f>SUM(I146:I150)</f>
        <v>372315.67</v>
      </c>
      <c r="J151" s="33">
        <f t="shared" si="34"/>
        <v>87536.849999999977</v>
      </c>
      <c r="K151" s="33"/>
      <c r="L151" s="33">
        <f t="shared" si="35"/>
        <v>23.511460046793083</v>
      </c>
      <c r="M151" s="37">
        <f>SUM(M146:M150)</f>
        <v>284778.82</v>
      </c>
      <c r="N151" s="33">
        <f>SUM(N146:N150)</f>
        <v>198700</v>
      </c>
      <c r="O151" s="33">
        <f t="shared" si="36"/>
        <v>-86078.82</v>
      </c>
      <c r="P151" s="33"/>
      <c r="Q151" s="33">
        <f t="shared" si="37"/>
        <v>-43.320996477101154</v>
      </c>
      <c r="R151" s="39">
        <f>SUM(R146:R150)</f>
        <v>372315.67</v>
      </c>
      <c r="S151" s="33">
        <f t="shared" si="38"/>
        <v>87536.849999999977</v>
      </c>
      <c r="T151" s="34"/>
      <c r="U151" s="34">
        <f t="shared" si="39"/>
        <v>23.511460046793083</v>
      </c>
    </row>
    <row r="152" spans="1:21" hidden="1" outlineLevel="2">
      <c r="A152" s="22"/>
      <c r="B152" s="28">
        <v>7730</v>
      </c>
      <c r="C152" s="29" t="s">
        <v>173</v>
      </c>
      <c r="D152" s="5">
        <f>N(4401633.91)</f>
        <v>4401633.91</v>
      </c>
      <c r="E152" s="30">
        <f>N(3634292)</f>
        <v>3634292</v>
      </c>
      <c r="F152" s="30">
        <f t="shared" si="32"/>
        <v>-767341.91000000015</v>
      </c>
      <c r="G152" s="30"/>
      <c r="H152" s="31">
        <f t="shared" si="33"/>
        <v>-21.113931131565657</v>
      </c>
      <c r="I152" s="32">
        <f>N(3024267.58)</f>
        <v>3024267.58</v>
      </c>
      <c r="J152" s="30">
        <f t="shared" si="34"/>
        <v>-1377366.33</v>
      </c>
      <c r="K152" s="30"/>
      <c r="L152" s="30">
        <f t="shared" si="35"/>
        <v>-45.543798409530943</v>
      </c>
      <c r="M152" s="5">
        <f>N(4401633.91)</f>
        <v>4401633.91</v>
      </c>
      <c r="N152" s="30">
        <f>N(3634292)</f>
        <v>3634292</v>
      </c>
      <c r="O152" s="30">
        <f t="shared" si="36"/>
        <v>-767341.91000000015</v>
      </c>
      <c r="P152" s="30"/>
      <c r="Q152" s="30">
        <f t="shared" si="37"/>
        <v>-21.113931131565657</v>
      </c>
      <c r="R152" s="32">
        <f>N(3024267.58)</f>
        <v>3024267.58</v>
      </c>
      <c r="S152" s="33">
        <f t="shared" si="38"/>
        <v>-1377366.33</v>
      </c>
      <c r="T152" s="34"/>
      <c r="U152" s="34">
        <f t="shared" si="39"/>
        <v>-45.543798409530943</v>
      </c>
    </row>
    <row r="153" spans="1:21" hidden="1" outlineLevel="2">
      <c r="A153" s="22"/>
      <c r="B153" s="28">
        <v>7731</v>
      </c>
      <c r="C153" s="29" t="s">
        <v>174</v>
      </c>
      <c r="D153" s="5">
        <f>N(4457691.2)</f>
        <v>4457691.2</v>
      </c>
      <c r="E153" s="30">
        <f>N(4413292)</f>
        <v>4413292</v>
      </c>
      <c r="F153" s="30">
        <f t="shared" si="32"/>
        <v>-44399.200000000186</v>
      </c>
      <c r="G153" s="30"/>
      <c r="H153" s="31">
        <f t="shared" si="33"/>
        <v>-1.0060335912511609</v>
      </c>
      <c r="I153" s="32">
        <f>N(3419208)</f>
        <v>3419208</v>
      </c>
      <c r="J153" s="30">
        <f t="shared" si="34"/>
        <v>-1038483.2000000002</v>
      </c>
      <c r="K153" s="30"/>
      <c r="L153" s="30">
        <f t="shared" si="35"/>
        <v>-30.37203937286062</v>
      </c>
      <c r="M153" s="5">
        <f>N(4457691.2)</f>
        <v>4457691.2</v>
      </c>
      <c r="N153" s="30">
        <f>N(4413292)</f>
        <v>4413292</v>
      </c>
      <c r="O153" s="30">
        <f t="shared" si="36"/>
        <v>-44399.200000000186</v>
      </c>
      <c r="P153" s="30"/>
      <c r="Q153" s="30">
        <f t="shared" si="37"/>
        <v>-1.0060335912511609</v>
      </c>
      <c r="R153" s="32">
        <f>N(3419208)</f>
        <v>3419208</v>
      </c>
      <c r="S153" s="33">
        <f t="shared" si="38"/>
        <v>-1038483.2000000002</v>
      </c>
      <c r="T153" s="34"/>
      <c r="U153" s="34">
        <f t="shared" si="39"/>
        <v>-30.37203937286062</v>
      </c>
    </row>
    <row r="154" spans="1:21" hidden="1" outlineLevel="2">
      <c r="A154" s="22"/>
      <c r="B154" s="28">
        <v>7735</v>
      </c>
      <c r="C154" s="29" t="s">
        <v>175</v>
      </c>
      <c r="D154" s="5">
        <f>N(832630.65)</f>
        <v>832630.65</v>
      </c>
      <c r="E154" s="30">
        <f>N(2599216)</f>
        <v>2599216</v>
      </c>
      <c r="F154" s="30">
        <f t="shared" si="32"/>
        <v>1766585.35</v>
      </c>
      <c r="G154" s="30"/>
      <c r="H154" s="31">
        <f t="shared" si="33"/>
        <v>67.966084773254707</v>
      </c>
      <c r="I154" s="32">
        <f>N(1047192.36)</f>
        <v>1047192.36</v>
      </c>
      <c r="J154" s="30">
        <f t="shared" si="34"/>
        <v>214561.70999999996</v>
      </c>
      <c r="K154" s="30"/>
      <c r="L154" s="30">
        <f t="shared" si="35"/>
        <v>20.489235616654039</v>
      </c>
      <c r="M154" s="5">
        <f>N(832630.65)</f>
        <v>832630.65</v>
      </c>
      <c r="N154" s="30">
        <f>N(2599216)</f>
        <v>2599216</v>
      </c>
      <c r="O154" s="30">
        <f t="shared" si="36"/>
        <v>1766585.35</v>
      </c>
      <c r="P154" s="30"/>
      <c r="Q154" s="30">
        <f t="shared" si="37"/>
        <v>67.966084773254707</v>
      </c>
      <c r="R154" s="32">
        <f>N(1047192.36)</f>
        <v>1047192.36</v>
      </c>
      <c r="S154" s="33">
        <f t="shared" si="38"/>
        <v>214561.70999999996</v>
      </c>
      <c r="T154" s="34"/>
      <c r="U154" s="34">
        <f t="shared" si="39"/>
        <v>20.489235616654039</v>
      </c>
    </row>
    <row r="155" spans="1:21" hidden="1" outlineLevel="1" collapsed="1">
      <c r="A155" s="22"/>
      <c r="B155" s="35" t="str">
        <f>"    "&amp;"Evangelisering og misjon"</f>
        <v xml:space="preserve">    Evangelisering og misjon</v>
      </c>
      <c r="C155" s="36"/>
      <c r="D155" s="37">
        <f>SUM(D152:D154)</f>
        <v>9691955.7599999998</v>
      </c>
      <c r="E155" s="33">
        <f>SUM(E152:E154)</f>
        <v>10646800</v>
      </c>
      <c r="F155" s="33">
        <f t="shared" si="32"/>
        <v>954844.24000000022</v>
      </c>
      <c r="G155" s="33"/>
      <c r="H155" s="38">
        <f t="shared" si="33"/>
        <v>8.9683683360258506</v>
      </c>
      <c r="I155" s="39">
        <f>SUM(I152:I154)</f>
        <v>7490667.9400000004</v>
      </c>
      <c r="J155" s="33">
        <f t="shared" si="34"/>
        <v>-2201287.8199999994</v>
      </c>
      <c r="K155" s="33"/>
      <c r="L155" s="33">
        <f t="shared" si="35"/>
        <v>-29.387069853212573</v>
      </c>
      <c r="M155" s="37">
        <f>SUM(M152:M154)</f>
        <v>9691955.7599999998</v>
      </c>
      <c r="N155" s="33">
        <f>SUM(N152:N154)</f>
        <v>10646800</v>
      </c>
      <c r="O155" s="33">
        <f t="shared" si="36"/>
        <v>954844.24000000022</v>
      </c>
      <c r="P155" s="33"/>
      <c r="Q155" s="33">
        <f t="shared" si="37"/>
        <v>8.9683683360258506</v>
      </c>
      <c r="R155" s="39">
        <f>SUM(R152:R154)</f>
        <v>7490667.9400000004</v>
      </c>
      <c r="S155" s="33">
        <f t="shared" si="38"/>
        <v>-2201287.8199999994</v>
      </c>
      <c r="T155" s="34"/>
      <c r="U155" s="34">
        <f t="shared" si="39"/>
        <v>-29.387069853212573</v>
      </c>
    </row>
    <row r="156" spans="1:21" hidden="1" outlineLevel="2">
      <c r="A156" s="22"/>
      <c r="B156" s="28">
        <v>7100</v>
      </c>
      <c r="C156" s="29" t="s">
        <v>176</v>
      </c>
      <c r="D156" s="5">
        <f>N(97148.66)</f>
        <v>97148.66</v>
      </c>
      <c r="E156" s="30">
        <f>N(91500)</f>
        <v>91500</v>
      </c>
      <c r="F156" s="30">
        <f t="shared" si="32"/>
        <v>-5648.6600000000035</v>
      </c>
      <c r="G156" s="30"/>
      <c r="H156" s="31">
        <f t="shared" si="33"/>
        <v>-6.1733989071038291</v>
      </c>
      <c r="I156" s="32">
        <f>N(65773.85)</f>
        <v>65773.850000000006</v>
      </c>
      <c r="J156" s="30">
        <f t="shared" si="34"/>
        <v>-31374.809999999998</v>
      </c>
      <c r="K156" s="30"/>
      <c r="L156" s="30">
        <f t="shared" si="35"/>
        <v>-47.701039242799375</v>
      </c>
      <c r="M156" s="5">
        <f>N(97148.66)</f>
        <v>97148.66</v>
      </c>
      <c r="N156" s="30">
        <f>N(91500)</f>
        <v>91500</v>
      </c>
      <c r="O156" s="30">
        <f t="shared" si="36"/>
        <v>-5648.6600000000035</v>
      </c>
      <c r="P156" s="30"/>
      <c r="Q156" s="30">
        <f t="shared" si="37"/>
        <v>-6.1733989071038291</v>
      </c>
      <c r="R156" s="32">
        <f>N(65773.85)</f>
        <v>65773.850000000006</v>
      </c>
      <c r="S156" s="33">
        <f t="shared" si="38"/>
        <v>-31374.809999999998</v>
      </c>
      <c r="T156" s="34"/>
      <c r="U156" s="34">
        <f t="shared" si="39"/>
        <v>-47.701039242799375</v>
      </c>
    </row>
    <row r="157" spans="1:21" hidden="1" outlineLevel="2">
      <c r="A157" s="22"/>
      <c r="B157" s="28">
        <v>7101</v>
      </c>
      <c r="C157" s="29" t="s">
        <v>177</v>
      </c>
      <c r="D157" s="5">
        <f>N(163758.65)</f>
        <v>163758.65</v>
      </c>
      <c r="E157" s="30">
        <f>N(163200)</f>
        <v>163200</v>
      </c>
      <c r="F157" s="30">
        <f t="shared" si="32"/>
        <v>-558.64999999999418</v>
      </c>
      <c r="G157" s="30"/>
      <c r="H157" s="31">
        <f t="shared" si="33"/>
        <v>-0.34231004901960427</v>
      </c>
      <c r="I157" s="32">
        <f>N(179419.55)</f>
        <v>179419.55</v>
      </c>
      <c r="J157" s="30">
        <f t="shared" si="34"/>
        <v>15660.899999999994</v>
      </c>
      <c r="K157" s="30"/>
      <c r="L157" s="30">
        <f t="shared" si="35"/>
        <v>8.7286474634453128</v>
      </c>
      <c r="M157" s="5">
        <f>N(163758.65)</f>
        <v>163758.65</v>
      </c>
      <c r="N157" s="30">
        <f>N(163200)</f>
        <v>163200</v>
      </c>
      <c r="O157" s="30">
        <f t="shared" si="36"/>
        <v>-558.64999999999418</v>
      </c>
      <c r="P157" s="30"/>
      <c r="Q157" s="30">
        <f t="shared" si="37"/>
        <v>-0.34231004901960427</v>
      </c>
      <c r="R157" s="32">
        <f>N(179419.55)</f>
        <v>179419.55</v>
      </c>
      <c r="S157" s="33">
        <f t="shared" si="38"/>
        <v>15660.899999999994</v>
      </c>
      <c r="T157" s="34"/>
      <c r="U157" s="34">
        <f t="shared" si="39"/>
        <v>8.7286474634453128</v>
      </c>
    </row>
    <row r="158" spans="1:21" hidden="1" outlineLevel="2">
      <c r="A158" s="22"/>
      <c r="B158" s="28">
        <v>7140</v>
      </c>
      <c r="C158" s="29" t="s">
        <v>178</v>
      </c>
      <c r="D158" s="5">
        <f>N(598245.17)</f>
        <v>598245.17000000004</v>
      </c>
      <c r="E158" s="30">
        <f>N(1205000)</f>
        <v>1205000</v>
      </c>
      <c r="F158" s="30">
        <f t="shared" si="32"/>
        <v>606754.82999999996</v>
      </c>
      <c r="G158" s="30"/>
      <c r="H158" s="31">
        <f t="shared" si="33"/>
        <v>50.353097925311197</v>
      </c>
      <c r="I158" s="32">
        <f>N(766062.37)</f>
        <v>766062.37</v>
      </c>
      <c r="J158" s="30">
        <f t="shared" si="34"/>
        <v>167817.19999999995</v>
      </c>
      <c r="K158" s="30"/>
      <c r="L158" s="30">
        <f t="shared" si="35"/>
        <v>21.906466962996756</v>
      </c>
      <c r="M158" s="5">
        <f>N(598245.17)</f>
        <v>598245.17000000004</v>
      </c>
      <c r="N158" s="30">
        <f>N(1205000)</f>
        <v>1205000</v>
      </c>
      <c r="O158" s="30">
        <f t="shared" si="36"/>
        <v>606754.82999999996</v>
      </c>
      <c r="P158" s="30"/>
      <c r="Q158" s="30">
        <f t="shared" si="37"/>
        <v>50.353097925311197</v>
      </c>
      <c r="R158" s="32">
        <f>N(766062.37)</f>
        <v>766062.37</v>
      </c>
      <c r="S158" s="33">
        <f t="shared" si="38"/>
        <v>167817.19999999995</v>
      </c>
      <c r="T158" s="34"/>
      <c r="U158" s="34">
        <f t="shared" si="39"/>
        <v>21.906466962996756</v>
      </c>
    </row>
    <row r="159" spans="1:21" hidden="1" outlineLevel="2">
      <c r="A159" s="22"/>
      <c r="B159" s="28">
        <v>7141</v>
      </c>
      <c r="C159" s="29" t="s">
        <v>179</v>
      </c>
      <c r="D159" s="5">
        <f>N(76224.12)</f>
        <v>76224.12</v>
      </c>
      <c r="E159" s="30">
        <f>N(0)</f>
        <v>0</v>
      </c>
      <c r="F159" s="30">
        <f t="shared" si="32"/>
        <v>-76224.12</v>
      </c>
      <c r="G159" s="30"/>
      <c r="H159" s="31">
        <f t="shared" si="33"/>
        <v>0</v>
      </c>
      <c r="I159" s="32">
        <f>N(0)</f>
        <v>0</v>
      </c>
      <c r="J159" s="30">
        <f t="shared" si="34"/>
        <v>-76224.12</v>
      </c>
      <c r="K159" s="30"/>
      <c r="L159" s="30">
        <f t="shared" si="35"/>
        <v>0</v>
      </c>
      <c r="M159" s="5">
        <f>N(76224.12)</f>
        <v>76224.12</v>
      </c>
      <c r="N159" s="30">
        <f>N(0)</f>
        <v>0</v>
      </c>
      <c r="O159" s="30">
        <f t="shared" si="36"/>
        <v>-76224.12</v>
      </c>
      <c r="P159" s="30"/>
      <c r="Q159" s="30">
        <f t="shared" si="37"/>
        <v>0</v>
      </c>
      <c r="R159" s="32">
        <f>N(0)</f>
        <v>0</v>
      </c>
      <c r="S159" s="33">
        <f t="shared" si="38"/>
        <v>-76224.12</v>
      </c>
      <c r="T159" s="34"/>
      <c r="U159" s="34">
        <f t="shared" si="39"/>
        <v>0</v>
      </c>
    </row>
    <row r="160" spans="1:21" hidden="1" outlineLevel="2">
      <c r="A160" s="22"/>
      <c r="B160" s="28">
        <v>7150</v>
      </c>
      <c r="C160" s="29" t="s">
        <v>180</v>
      </c>
      <c r="D160" s="5">
        <f>N(5952.5)</f>
        <v>5952.5</v>
      </c>
      <c r="E160" s="30">
        <f>N(25000)</f>
        <v>25000</v>
      </c>
      <c r="F160" s="30">
        <f t="shared" si="32"/>
        <v>19047.5</v>
      </c>
      <c r="G160" s="30"/>
      <c r="H160" s="31">
        <f t="shared" si="33"/>
        <v>76.19</v>
      </c>
      <c r="I160" s="32">
        <f>N(5906)</f>
        <v>5906</v>
      </c>
      <c r="J160" s="30">
        <f t="shared" si="34"/>
        <v>-46.5</v>
      </c>
      <c r="K160" s="30"/>
      <c r="L160" s="30">
        <f t="shared" si="35"/>
        <v>-0.78733491364713848</v>
      </c>
      <c r="M160" s="5">
        <f>N(5952.5)</f>
        <v>5952.5</v>
      </c>
      <c r="N160" s="30">
        <f>N(25000)</f>
        <v>25000</v>
      </c>
      <c r="O160" s="30">
        <f t="shared" si="36"/>
        <v>19047.5</v>
      </c>
      <c r="P160" s="30"/>
      <c r="Q160" s="30">
        <f t="shared" si="37"/>
        <v>76.19</v>
      </c>
      <c r="R160" s="32">
        <f>N(5906)</f>
        <v>5906</v>
      </c>
      <c r="S160" s="33">
        <f t="shared" si="38"/>
        <v>-46.5</v>
      </c>
      <c r="T160" s="34"/>
      <c r="U160" s="34">
        <f t="shared" si="39"/>
        <v>-0.78733491364713848</v>
      </c>
    </row>
    <row r="161" spans="1:21" hidden="1" outlineLevel="2">
      <c r="A161" s="22"/>
      <c r="B161" s="28">
        <v>7151</v>
      </c>
      <c r="C161" s="29" t="s">
        <v>181</v>
      </c>
      <c r="D161" s="5">
        <f>N(2264)</f>
        <v>2264</v>
      </c>
      <c r="E161" s="30">
        <f>N(5000)</f>
        <v>5000</v>
      </c>
      <c r="F161" s="30">
        <f t="shared" si="32"/>
        <v>2736</v>
      </c>
      <c r="G161" s="30"/>
      <c r="H161" s="31">
        <f t="shared" si="33"/>
        <v>54.72</v>
      </c>
      <c r="I161" s="32">
        <f>N(2515)</f>
        <v>2515</v>
      </c>
      <c r="J161" s="30">
        <f t="shared" si="34"/>
        <v>251</v>
      </c>
      <c r="K161" s="30"/>
      <c r="L161" s="30">
        <f t="shared" si="35"/>
        <v>9.9801192842942346</v>
      </c>
      <c r="M161" s="5">
        <f>N(2264)</f>
        <v>2264</v>
      </c>
      <c r="N161" s="30">
        <f>N(5000)</f>
        <v>5000</v>
      </c>
      <c r="O161" s="30">
        <f t="shared" si="36"/>
        <v>2736</v>
      </c>
      <c r="P161" s="30"/>
      <c r="Q161" s="30">
        <f t="shared" si="37"/>
        <v>54.72</v>
      </c>
      <c r="R161" s="32">
        <f>N(2515)</f>
        <v>2515</v>
      </c>
      <c r="S161" s="33">
        <f t="shared" si="38"/>
        <v>251</v>
      </c>
      <c r="T161" s="34"/>
      <c r="U161" s="34">
        <f t="shared" si="39"/>
        <v>9.9801192842942346</v>
      </c>
    </row>
    <row r="162" spans="1:21" hidden="1" outlineLevel="2">
      <c r="A162" s="22"/>
      <c r="B162" s="28">
        <v>7170</v>
      </c>
      <c r="C162" s="29" t="s">
        <v>182</v>
      </c>
      <c r="D162" s="5">
        <f>N(71660.61)</f>
        <v>71660.61</v>
      </c>
      <c r="E162" s="30">
        <f>N(0)</f>
        <v>0</v>
      </c>
      <c r="F162" s="30">
        <f t="shared" si="32"/>
        <v>-71660.61</v>
      </c>
      <c r="G162" s="30"/>
      <c r="H162" s="31">
        <f t="shared" si="33"/>
        <v>0</v>
      </c>
      <c r="I162" s="32">
        <f>N(43617)</f>
        <v>43617</v>
      </c>
      <c r="J162" s="30">
        <f t="shared" si="34"/>
        <v>-28043.61</v>
      </c>
      <c r="K162" s="30"/>
      <c r="L162" s="30">
        <f t="shared" si="35"/>
        <v>-64.295137217140109</v>
      </c>
      <c r="M162" s="5">
        <f>N(71660.61)</f>
        <v>71660.61</v>
      </c>
      <c r="N162" s="30">
        <f>N(0)</f>
        <v>0</v>
      </c>
      <c r="O162" s="30">
        <f t="shared" si="36"/>
        <v>-71660.61</v>
      </c>
      <c r="P162" s="30"/>
      <c r="Q162" s="30">
        <f t="shared" si="37"/>
        <v>0</v>
      </c>
      <c r="R162" s="32">
        <f>N(43617)</f>
        <v>43617</v>
      </c>
      <c r="S162" s="33">
        <f t="shared" si="38"/>
        <v>-28043.61</v>
      </c>
      <c r="T162" s="34"/>
      <c r="U162" s="34">
        <f t="shared" si="39"/>
        <v>-64.295137217140109</v>
      </c>
    </row>
    <row r="163" spans="1:21" hidden="1" outlineLevel="1" collapsed="1">
      <c r="A163" s="22"/>
      <c r="B163" s="35" t="str">
        <f>"    "&amp;"Reise"</f>
        <v xml:space="preserve">    Reise</v>
      </c>
      <c r="C163" s="36"/>
      <c r="D163" s="37">
        <f>SUM(D156:D162)</f>
        <v>1015253.71</v>
      </c>
      <c r="E163" s="33">
        <f>SUM(E156:E162)</f>
        <v>1489700</v>
      </c>
      <c r="F163" s="33">
        <f t="shared" si="32"/>
        <v>474446.29000000004</v>
      </c>
      <c r="G163" s="33"/>
      <c r="H163" s="38">
        <f t="shared" si="33"/>
        <v>31.848445324561993</v>
      </c>
      <c r="I163" s="39">
        <f>SUM(I156:I162)</f>
        <v>1063293.77</v>
      </c>
      <c r="J163" s="33">
        <f t="shared" si="34"/>
        <v>48040.060000000056</v>
      </c>
      <c r="K163" s="33"/>
      <c r="L163" s="33">
        <f t="shared" si="35"/>
        <v>4.5180420835156454</v>
      </c>
      <c r="M163" s="37">
        <f>SUM(M156:M162)</f>
        <v>1015253.71</v>
      </c>
      <c r="N163" s="33">
        <f>SUM(N156:N162)</f>
        <v>1489700</v>
      </c>
      <c r="O163" s="33">
        <f t="shared" si="36"/>
        <v>474446.29000000004</v>
      </c>
      <c r="P163" s="33"/>
      <c r="Q163" s="33">
        <f t="shared" si="37"/>
        <v>31.848445324561993</v>
      </c>
      <c r="R163" s="39">
        <f>SUM(R156:R162)</f>
        <v>1063293.77</v>
      </c>
      <c r="S163" s="33">
        <f t="shared" si="38"/>
        <v>48040.060000000056</v>
      </c>
      <c r="T163" s="34"/>
      <c r="U163" s="34">
        <f t="shared" si="39"/>
        <v>4.5180420835156454</v>
      </c>
    </row>
    <row r="164" spans="1:21" hidden="1" outlineLevel="2">
      <c r="A164" s="22"/>
      <c r="B164" s="28">
        <v>7320</v>
      </c>
      <c r="C164" s="29" t="s">
        <v>183</v>
      </c>
      <c r="D164" s="5">
        <f>N(92184.5)</f>
        <v>92184.5</v>
      </c>
      <c r="E164" s="30">
        <f>N(22200)</f>
        <v>22200</v>
      </c>
      <c r="F164" s="30">
        <f t="shared" si="32"/>
        <v>-69984.5</v>
      </c>
      <c r="G164" s="30"/>
      <c r="H164" s="31">
        <f t="shared" si="33"/>
        <v>-315.2454954954955</v>
      </c>
      <c r="I164" s="32">
        <f>N(139806)</f>
        <v>139806</v>
      </c>
      <c r="J164" s="30">
        <f t="shared" si="34"/>
        <v>47621.5</v>
      </c>
      <c r="K164" s="30"/>
      <c r="L164" s="30">
        <f t="shared" si="35"/>
        <v>34.062558116246798</v>
      </c>
      <c r="M164" s="5">
        <f>N(92184.5)</f>
        <v>92184.5</v>
      </c>
      <c r="N164" s="30">
        <f>N(22200)</f>
        <v>22200</v>
      </c>
      <c r="O164" s="30">
        <f t="shared" si="36"/>
        <v>-69984.5</v>
      </c>
      <c r="P164" s="30"/>
      <c r="Q164" s="30">
        <f t="shared" si="37"/>
        <v>-315.2454954954955</v>
      </c>
      <c r="R164" s="32">
        <f>N(139806)</f>
        <v>139806</v>
      </c>
      <c r="S164" s="33">
        <f t="shared" si="38"/>
        <v>47621.5</v>
      </c>
      <c r="T164" s="34"/>
      <c r="U164" s="34">
        <f t="shared" si="39"/>
        <v>34.062558116246798</v>
      </c>
    </row>
    <row r="165" spans="1:21" hidden="1" outlineLevel="2">
      <c r="A165" s="22"/>
      <c r="B165" s="28">
        <v>7331</v>
      </c>
      <c r="C165" s="29" t="s">
        <v>184</v>
      </c>
      <c r="D165" s="5">
        <f>N(29750)</f>
        <v>29750</v>
      </c>
      <c r="E165" s="30">
        <f>N(3000)</f>
        <v>3000</v>
      </c>
      <c r="F165" s="30">
        <f t="shared" si="32"/>
        <v>-26750</v>
      </c>
      <c r="G165" s="30"/>
      <c r="H165" s="31">
        <f t="shared" si="33"/>
        <v>-891.66666666666663</v>
      </c>
      <c r="I165" s="32">
        <f>N(0)</f>
        <v>0</v>
      </c>
      <c r="J165" s="30">
        <f t="shared" si="34"/>
        <v>-29750</v>
      </c>
      <c r="K165" s="30"/>
      <c r="L165" s="30">
        <f t="shared" si="35"/>
        <v>0</v>
      </c>
      <c r="M165" s="5">
        <f>N(29750)</f>
        <v>29750</v>
      </c>
      <c r="N165" s="30">
        <f>N(3000)</f>
        <v>3000</v>
      </c>
      <c r="O165" s="30">
        <f t="shared" si="36"/>
        <v>-26750</v>
      </c>
      <c r="P165" s="30"/>
      <c r="Q165" s="30">
        <f t="shared" si="37"/>
        <v>-891.66666666666663</v>
      </c>
      <c r="R165" s="32">
        <f>N(0)</f>
        <v>0</v>
      </c>
      <c r="S165" s="33">
        <f t="shared" si="38"/>
        <v>-29750</v>
      </c>
      <c r="T165" s="34"/>
      <c r="U165" s="34">
        <f t="shared" si="39"/>
        <v>0</v>
      </c>
    </row>
    <row r="166" spans="1:21" hidden="1" outlineLevel="1" collapsed="1">
      <c r="A166" s="22"/>
      <c r="B166" s="35" t="str">
        <f>"    "&amp;"Salgs-, reklame- og representasjonskostnader"</f>
        <v xml:space="preserve">    Salgs-, reklame- og representasjonskostnader</v>
      </c>
      <c r="C166" s="36"/>
      <c r="D166" s="37">
        <f>SUM(D164:D165)</f>
        <v>121934.5</v>
      </c>
      <c r="E166" s="33">
        <f>SUM(E164:E165)</f>
        <v>25200</v>
      </c>
      <c r="F166" s="33">
        <f t="shared" si="32"/>
        <v>-96734.5</v>
      </c>
      <c r="G166" s="33"/>
      <c r="H166" s="38">
        <f t="shared" si="33"/>
        <v>-383.86706349206349</v>
      </c>
      <c r="I166" s="39">
        <f>SUM(I164:I165)</f>
        <v>139806</v>
      </c>
      <c r="J166" s="33">
        <f t="shared" si="34"/>
        <v>17871.5</v>
      </c>
      <c r="K166" s="33"/>
      <c r="L166" s="33">
        <f t="shared" si="35"/>
        <v>12.783070826717022</v>
      </c>
      <c r="M166" s="37">
        <f>SUM(M164:M165)</f>
        <v>121934.5</v>
      </c>
      <c r="N166" s="33">
        <f>SUM(N164:N165)</f>
        <v>25200</v>
      </c>
      <c r="O166" s="33">
        <f t="shared" si="36"/>
        <v>-96734.5</v>
      </c>
      <c r="P166" s="33"/>
      <c r="Q166" s="33">
        <f t="shared" si="37"/>
        <v>-383.86706349206349</v>
      </c>
      <c r="R166" s="39">
        <f>SUM(R164:R165)</f>
        <v>139806</v>
      </c>
      <c r="S166" s="33">
        <f t="shared" si="38"/>
        <v>17871.5</v>
      </c>
      <c r="T166" s="34"/>
      <c r="U166" s="34">
        <f t="shared" si="39"/>
        <v>12.783070826717022</v>
      </c>
    </row>
    <row r="167" spans="1:21" hidden="1" outlineLevel="2">
      <c r="A167" s="22"/>
      <c r="B167" s="28">
        <v>7410</v>
      </c>
      <c r="C167" s="29" t="s">
        <v>185</v>
      </c>
      <c r="D167" s="5">
        <f>N(253631.49)</f>
        <v>253631.49</v>
      </c>
      <c r="E167" s="30">
        <f>N(288200)</f>
        <v>288200</v>
      </c>
      <c r="F167" s="30">
        <f t="shared" si="32"/>
        <v>34568.510000000009</v>
      </c>
      <c r="G167" s="30"/>
      <c r="H167" s="31">
        <f t="shared" si="33"/>
        <v>11.994625260235951</v>
      </c>
      <c r="I167" s="32">
        <f>N(226193.44)</f>
        <v>226193.44</v>
      </c>
      <c r="J167" s="30">
        <f t="shared" si="34"/>
        <v>-27438.049999999988</v>
      </c>
      <c r="K167" s="30"/>
      <c r="L167" s="30">
        <f t="shared" si="35"/>
        <v>-12.130347369932563</v>
      </c>
      <c r="M167" s="5">
        <f>N(253631.49)</f>
        <v>253631.49</v>
      </c>
      <c r="N167" s="30">
        <f>N(288200)</f>
        <v>288200</v>
      </c>
      <c r="O167" s="30">
        <f t="shared" si="36"/>
        <v>34568.510000000009</v>
      </c>
      <c r="P167" s="30"/>
      <c r="Q167" s="30">
        <f t="shared" si="37"/>
        <v>11.994625260235951</v>
      </c>
      <c r="R167" s="32">
        <f>N(226193.44)</f>
        <v>226193.44</v>
      </c>
      <c r="S167" s="33">
        <f t="shared" si="38"/>
        <v>-27438.049999999988</v>
      </c>
      <c r="T167" s="34"/>
      <c r="U167" s="34">
        <f t="shared" si="39"/>
        <v>-12.130347369932563</v>
      </c>
    </row>
    <row r="168" spans="1:21" hidden="1" outlineLevel="2">
      <c r="A168" s="22"/>
      <c r="B168" s="28">
        <v>7430</v>
      </c>
      <c r="C168" s="29" t="s">
        <v>186</v>
      </c>
      <c r="D168" s="5">
        <f>N(208763.2)</f>
        <v>208763.2</v>
      </c>
      <c r="E168" s="30">
        <f>N(4000)</f>
        <v>4000</v>
      </c>
      <c r="F168" s="30">
        <f t="shared" si="32"/>
        <v>-204763.2</v>
      </c>
      <c r="G168" s="30"/>
      <c r="H168" s="31">
        <f t="shared" si="33"/>
        <v>-5119.08</v>
      </c>
      <c r="I168" s="32">
        <f>N(0)</f>
        <v>0</v>
      </c>
      <c r="J168" s="30">
        <f t="shared" si="34"/>
        <v>-208763.2</v>
      </c>
      <c r="K168" s="30"/>
      <c r="L168" s="30">
        <f t="shared" si="35"/>
        <v>0</v>
      </c>
      <c r="M168" s="5">
        <f>N(208763.2)</f>
        <v>208763.2</v>
      </c>
      <c r="N168" s="30">
        <f>N(4000)</f>
        <v>4000</v>
      </c>
      <c r="O168" s="30">
        <f t="shared" si="36"/>
        <v>-204763.2</v>
      </c>
      <c r="P168" s="30"/>
      <c r="Q168" s="30">
        <f t="shared" si="37"/>
        <v>-5119.08</v>
      </c>
      <c r="R168" s="32">
        <f>N(0)</f>
        <v>0</v>
      </c>
      <c r="S168" s="33">
        <f t="shared" si="38"/>
        <v>-208763.2</v>
      </c>
      <c r="T168" s="34"/>
      <c r="U168" s="34">
        <f t="shared" si="39"/>
        <v>0</v>
      </c>
    </row>
    <row r="169" spans="1:21" hidden="1" outlineLevel="2">
      <c r="A169" s="22"/>
      <c r="B169" s="28">
        <v>7432</v>
      </c>
      <c r="C169" s="29" t="s">
        <v>187</v>
      </c>
      <c r="D169" s="5">
        <f>N(0)</f>
        <v>0</v>
      </c>
      <c r="E169" s="30">
        <f>N(0)</f>
        <v>0</v>
      </c>
      <c r="F169" s="30">
        <f t="shared" si="32"/>
        <v>0</v>
      </c>
      <c r="G169" s="30"/>
      <c r="H169" s="31">
        <f t="shared" si="33"/>
        <v>0</v>
      </c>
      <c r="I169" s="32">
        <f>N(0)</f>
        <v>0</v>
      </c>
      <c r="J169" s="30">
        <f t="shared" si="34"/>
        <v>0</v>
      </c>
      <c r="K169" s="30"/>
      <c r="L169" s="30">
        <f t="shared" si="35"/>
        <v>0</v>
      </c>
      <c r="M169" s="5">
        <f>N(0)</f>
        <v>0</v>
      </c>
      <c r="N169" s="30">
        <f>N(0)</f>
        <v>0</v>
      </c>
      <c r="O169" s="30">
        <f t="shared" si="36"/>
        <v>0</v>
      </c>
      <c r="P169" s="30"/>
      <c r="Q169" s="30">
        <f t="shared" si="37"/>
        <v>0</v>
      </c>
      <c r="R169" s="32">
        <f>N(0)</f>
        <v>0</v>
      </c>
      <c r="S169" s="33">
        <f t="shared" si="38"/>
        <v>0</v>
      </c>
      <c r="T169" s="34"/>
      <c r="U169" s="34">
        <f t="shared" si="39"/>
        <v>0</v>
      </c>
    </row>
    <row r="170" spans="1:21" hidden="1" outlineLevel="2">
      <c r="A170" s="22"/>
      <c r="B170" s="28">
        <v>7437</v>
      </c>
      <c r="C170" s="29" t="s">
        <v>188</v>
      </c>
      <c r="D170" s="5">
        <f>N(250000)</f>
        <v>250000</v>
      </c>
      <c r="E170" s="30">
        <f>N(0)</f>
        <v>0</v>
      </c>
      <c r="F170" s="30">
        <f t="shared" si="32"/>
        <v>-250000</v>
      </c>
      <c r="G170" s="30"/>
      <c r="H170" s="31">
        <f t="shared" si="33"/>
        <v>0</v>
      </c>
      <c r="I170" s="32">
        <f>N(200000)</f>
        <v>200000</v>
      </c>
      <c r="J170" s="30">
        <f t="shared" si="34"/>
        <v>-50000</v>
      </c>
      <c r="K170" s="30"/>
      <c r="L170" s="30">
        <f t="shared" si="35"/>
        <v>-25</v>
      </c>
      <c r="M170" s="5">
        <f>N(250000)</f>
        <v>250000</v>
      </c>
      <c r="N170" s="30">
        <f>N(0)</f>
        <v>0</v>
      </c>
      <c r="O170" s="30">
        <f t="shared" si="36"/>
        <v>-250000</v>
      </c>
      <c r="P170" s="30"/>
      <c r="Q170" s="30">
        <f t="shared" si="37"/>
        <v>0</v>
      </c>
      <c r="R170" s="32">
        <f>N(200000)</f>
        <v>200000</v>
      </c>
      <c r="S170" s="33">
        <f t="shared" si="38"/>
        <v>-50000</v>
      </c>
      <c r="T170" s="34"/>
      <c r="U170" s="34">
        <f t="shared" si="39"/>
        <v>-25</v>
      </c>
    </row>
    <row r="171" spans="1:21" hidden="1" outlineLevel="2">
      <c r="A171" s="22"/>
      <c r="B171" s="28">
        <v>7439</v>
      </c>
      <c r="C171" s="29" t="s">
        <v>189</v>
      </c>
      <c r="D171" s="5">
        <f>N(3911000)</f>
        <v>3911000</v>
      </c>
      <c r="E171" s="30">
        <f>N(4562700)</f>
        <v>4562700</v>
      </c>
      <c r="F171" s="30">
        <f t="shared" si="32"/>
        <v>651700</v>
      </c>
      <c r="G171" s="30"/>
      <c r="H171" s="31">
        <f t="shared" si="33"/>
        <v>14.283209503145068</v>
      </c>
      <c r="I171" s="32">
        <f>N(4196376)</f>
        <v>4196376</v>
      </c>
      <c r="J171" s="30">
        <f t="shared" si="34"/>
        <v>285376</v>
      </c>
      <c r="K171" s="30"/>
      <c r="L171" s="30">
        <f t="shared" si="35"/>
        <v>6.8005345564839761</v>
      </c>
      <c r="M171" s="5">
        <f>N(3911000)</f>
        <v>3911000</v>
      </c>
      <c r="N171" s="30">
        <f>N(4562700)</f>
        <v>4562700</v>
      </c>
      <c r="O171" s="30">
        <f t="shared" si="36"/>
        <v>651700</v>
      </c>
      <c r="P171" s="30"/>
      <c r="Q171" s="30">
        <f t="shared" si="37"/>
        <v>14.283209503145068</v>
      </c>
      <c r="R171" s="32">
        <f>N(4196376)</f>
        <v>4196376</v>
      </c>
      <c r="S171" s="33">
        <f t="shared" si="38"/>
        <v>285376</v>
      </c>
      <c r="T171" s="34"/>
      <c r="U171" s="34">
        <f t="shared" si="39"/>
        <v>6.8005345564839761</v>
      </c>
    </row>
    <row r="172" spans="1:21" hidden="1" outlineLevel="2">
      <c r="A172" s="22"/>
      <c r="B172" s="28">
        <v>7440</v>
      </c>
      <c r="C172" s="29" t="s">
        <v>190</v>
      </c>
      <c r="D172" s="5">
        <f>N(38300)</f>
        <v>38300</v>
      </c>
      <c r="E172" s="30">
        <f>N(0)</f>
        <v>0</v>
      </c>
      <c r="F172" s="30">
        <f t="shared" si="32"/>
        <v>-38300</v>
      </c>
      <c r="G172" s="30"/>
      <c r="H172" s="31">
        <f t="shared" si="33"/>
        <v>0</v>
      </c>
      <c r="I172" s="32">
        <f>N(50000)</f>
        <v>50000</v>
      </c>
      <c r="J172" s="30">
        <f t="shared" si="34"/>
        <v>11700</v>
      </c>
      <c r="K172" s="30"/>
      <c r="L172" s="30">
        <f t="shared" si="35"/>
        <v>23.4</v>
      </c>
      <c r="M172" s="5">
        <f>N(38300)</f>
        <v>38300</v>
      </c>
      <c r="N172" s="30">
        <f>N(0)</f>
        <v>0</v>
      </c>
      <c r="O172" s="30">
        <f t="shared" si="36"/>
        <v>-38300</v>
      </c>
      <c r="P172" s="30"/>
      <c r="Q172" s="30">
        <f t="shared" si="37"/>
        <v>0</v>
      </c>
      <c r="R172" s="32">
        <f>N(50000)</f>
        <v>50000</v>
      </c>
      <c r="S172" s="33">
        <f t="shared" si="38"/>
        <v>11700</v>
      </c>
      <c r="T172" s="34"/>
      <c r="U172" s="34">
        <f t="shared" si="39"/>
        <v>23.4</v>
      </c>
    </row>
    <row r="173" spans="1:21" hidden="1" outlineLevel="2">
      <c r="A173" s="22"/>
      <c r="B173" s="28">
        <v>7445</v>
      </c>
      <c r="C173" s="29" t="s">
        <v>191</v>
      </c>
      <c r="D173" s="5">
        <f>N(79500)</f>
        <v>79500</v>
      </c>
      <c r="E173" s="30">
        <f>N(68000)</f>
        <v>68000</v>
      </c>
      <c r="F173" s="30">
        <f t="shared" si="32"/>
        <v>-11500</v>
      </c>
      <c r="G173" s="30"/>
      <c r="H173" s="31">
        <f t="shared" si="33"/>
        <v>-16.911764705882351</v>
      </c>
      <c r="I173" s="32">
        <f>N(106100)</f>
        <v>106100</v>
      </c>
      <c r="J173" s="30">
        <f t="shared" si="34"/>
        <v>26600</v>
      </c>
      <c r="K173" s="30"/>
      <c r="L173" s="30">
        <f t="shared" si="35"/>
        <v>25.070688030160227</v>
      </c>
      <c r="M173" s="5">
        <f>N(79500)</f>
        <v>79500</v>
      </c>
      <c r="N173" s="30">
        <f>N(68000)</f>
        <v>68000</v>
      </c>
      <c r="O173" s="30">
        <f t="shared" si="36"/>
        <v>-11500</v>
      </c>
      <c r="P173" s="30"/>
      <c r="Q173" s="30">
        <f t="shared" si="37"/>
        <v>-16.911764705882351</v>
      </c>
      <c r="R173" s="32">
        <f>N(106100)</f>
        <v>106100</v>
      </c>
      <c r="S173" s="33">
        <f t="shared" si="38"/>
        <v>26600</v>
      </c>
      <c r="T173" s="34"/>
      <c r="U173" s="34">
        <f t="shared" si="39"/>
        <v>25.070688030160227</v>
      </c>
    </row>
    <row r="174" spans="1:21" hidden="1" outlineLevel="2">
      <c r="A174" s="22"/>
      <c r="B174" s="28">
        <v>7447</v>
      </c>
      <c r="C174" s="29" t="s">
        <v>192</v>
      </c>
      <c r="D174" s="5">
        <f>N(105049)</f>
        <v>105049</v>
      </c>
      <c r="E174" s="30">
        <f>N(130000)</f>
        <v>130000</v>
      </c>
      <c r="F174" s="30">
        <f t="shared" si="32"/>
        <v>24951</v>
      </c>
      <c r="G174" s="30"/>
      <c r="H174" s="31">
        <f t="shared" si="33"/>
        <v>19.193076923076923</v>
      </c>
      <c r="I174" s="32">
        <f>N(45000)</f>
        <v>45000</v>
      </c>
      <c r="J174" s="30">
        <f t="shared" si="34"/>
        <v>-60049</v>
      </c>
      <c r="K174" s="30"/>
      <c r="L174" s="30">
        <f t="shared" si="35"/>
        <v>-133.44222222222223</v>
      </c>
      <c r="M174" s="5">
        <f>N(105049)</f>
        <v>105049</v>
      </c>
      <c r="N174" s="30">
        <f>N(130000)</f>
        <v>130000</v>
      </c>
      <c r="O174" s="30">
        <f t="shared" si="36"/>
        <v>24951</v>
      </c>
      <c r="P174" s="30"/>
      <c r="Q174" s="30">
        <f t="shared" si="37"/>
        <v>19.193076923076923</v>
      </c>
      <c r="R174" s="32">
        <f>N(45000)</f>
        <v>45000</v>
      </c>
      <c r="S174" s="33">
        <f t="shared" si="38"/>
        <v>-60049</v>
      </c>
      <c r="T174" s="34"/>
      <c r="U174" s="34">
        <f t="shared" si="39"/>
        <v>-133.44222222222223</v>
      </c>
    </row>
    <row r="175" spans="1:21" hidden="1" outlineLevel="2">
      <c r="A175" s="22"/>
      <c r="B175" s="28">
        <v>7448</v>
      </c>
      <c r="C175" s="29" t="s">
        <v>193</v>
      </c>
      <c r="D175" s="5">
        <f>N(0)</f>
        <v>0</v>
      </c>
      <c r="E175" s="30">
        <f>N(0)</f>
        <v>0</v>
      </c>
      <c r="F175" s="30">
        <f t="shared" si="32"/>
        <v>0</v>
      </c>
      <c r="G175" s="30"/>
      <c r="H175" s="31">
        <f t="shared" si="33"/>
        <v>0</v>
      </c>
      <c r="I175" s="32">
        <f>N(275700)</f>
        <v>275700</v>
      </c>
      <c r="J175" s="30">
        <f t="shared" si="34"/>
        <v>275700</v>
      </c>
      <c r="K175" s="30"/>
      <c r="L175" s="30">
        <f t="shared" si="35"/>
        <v>100</v>
      </c>
      <c r="M175" s="5">
        <f>N(0)</f>
        <v>0</v>
      </c>
      <c r="N175" s="30">
        <f>N(0)</f>
        <v>0</v>
      </c>
      <c r="O175" s="30">
        <f t="shared" si="36"/>
        <v>0</v>
      </c>
      <c r="P175" s="30"/>
      <c r="Q175" s="30">
        <f t="shared" si="37"/>
        <v>0</v>
      </c>
      <c r="R175" s="32">
        <f>N(275700)</f>
        <v>275700</v>
      </c>
      <c r="S175" s="33">
        <f t="shared" si="38"/>
        <v>275700</v>
      </c>
      <c r="T175" s="34"/>
      <c r="U175" s="34">
        <f t="shared" si="39"/>
        <v>100</v>
      </c>
    </row>
    <row r="176" spans="1:21" hidden="1" outlineLevel="2">
      <c r="A176" s="22"/>
      <c r="B176" s="28">
        <v>7460</v>
      </c>
      <c r="C176" s="29" t="s">
        <v>194</v>
      </c>
      <c r="D176" s="5">
        <f>N(598218.04)</f>
        <v>598218.04</v>
      </c>
      <c r="E176" s="30">
        <f>N(594220)</f>
        <v>594220</v>
      </c>
      <c r="F176" s="30">
        <f t="shared" si="32"/>
        <v>-3998.0400000000373</v>
      </c>
      <c r="G176" s="30"/>
      <c r="H176" s="31">
        <f t="shared" si="33"/>
        <v>-0.67282151391741063</v>
      </c>
      <c r="I176" s="32">
        <f>N(628898.9)</f>
        <v>628898.9</v>
      </c>
      <c r="J176" s="30">
        <f t="shared" si="34"/>
        <v>30680.859999999986</v>
      </c>
      <c r="K176" s="30"/>
      <c r="L176" s="30">
        <f t="shared" si="35"/>
        <v>4.8785043192156934</v>
      </c>
      <c r="M176" s="5">
        <f>N(598218.04)</f>
        <v>598218.04</v>
      </c>
      <c r="N176" s="30">
        <f>N(594220)</f>
        <v>594220</v>
      </c>
      <c r="O176" s="30">
        <f t="shared" si="36"/>
        <v>-3998.0400000000373</v>
      </c>
      <c r="P176" s="30"/>
      <c r="Q176" s="30">
        <f t="shared" si="37"/>
        <v>-0.67282151391741063</v>
      </c>
      <c r="R176" s="32">
        <f>N(628898.9)</f>
        <v>628898.9</v>
      </c>
      <c r="S176" s="33">
        <f t="shared" si="38"/>
        <v>30680.859999999986</v>
      </c>
      <c r="T176" s="34"/>
      <c r="U176" s="34">
        <f t="shared" si="39"/>
        <v>4.8785043192156934</v>
      </c>
    </row>
    <row r="177" spans="1:21" hidden="1" outlineLevel="2">
      <c r="A177" s="22"/>
      <c r="B177" s="28">
        <v>7461</v>
      </c>
      <c r="C177" s="29" t="s">
        <v>195</v>
      </c>
      <c r="D177" s="5">
        <f>N(2350142.53)</f>
        <v>2350142.5299999998</v>
      </c>
      <c r="E177" s="30">
        <f>N(2334420)</f>
        <v>2334420</v>
      </c>
      <c r="F177" s="30">
        <f t="shared" ref="F177:F191" si="40">-D177+E177</f>
        <v>-15722.529999999795</v>
      </c>
      <c r="G177" s="30"/>
      <c r="H177" s="31">
        <f t="shared" ref="H177:H191" si="41">IF(E177=0,0,F177*100/E177)</f>
        <v>-0.67350905149886464</v>
      </c>
      <c r="I177" s="32">
        <f>N(2470672.75)</f>
        <v>2470672.75</v>
      </c>
      <c r="J177" s="30">
        <f t="shared" ref="J177:J191" si="42">-D177+I177</f>
        <v>120530.2200000002</v>
      </c>
      <c r="K177" s="30"/>
      <c r="L177" s="30">
        <f t="shared" ref="L177:L191" si="43">IF(I177=0,0,J177*100/I177)</f>
        <v>4.8784372596492274</v>
      </c>
      <c r="M177" s="5">
        <f>N(2350142.53)</f>
        <v>2350142.5299999998</v>
      </c>
      <c r="N177" s="30">
        <f>N(2334420)</f>
        <v>2334420</v>
      </c>
      <c r="O177" s="30">
        <f t="shared" ref="O177:O191" si="44">-M177+N177</f>
        <v>-15722.529999999795</v>
      </c>
      <c r="P177" s="30"/>
      <c r="Q177" s="30">
        <f t="shared" ref="Q177:Q191" si="45">IF(N177=0,0,O177*100/N177)</f>
        <v>-0.67350905149886464</v>
      </c>
      <c r="R177" s="32">
        <f>N(2470672.75)</f>
        <v>2470672.75</v>
      </c>
      <c r="S177" s="33">
        <f t="shared" ref="S177:S191" si="46">-M177+R177</f>
        <v>120530.2200000002</v>
      </c>
      <c r="T177" s="34"/>
      <c r="U177" s="34">
        <f t="shared" ref="U177:U191" si="47">IF(R177=0,0,S177*100/R177)</f>
        <v>4.8784372596492274</v>
      </c>
    </row>
    <row r="178" spans="1:21" hidden="1" outlineLevel="1" collapsed="1">
      <c r="A178" s="22"/>
      <c r="B178" s="35" t="str">
        <f>"    "&amp;"Kontingent og bevilgninger"</f>
        <v xml:space="preserve">    Kontingent og bevilgninger</v>
      </c>
      <c r="C178" s="36"/>
      <c r="D178" s="37">
        <f>SUM(D167:D177)</f>
        <v>7794604.2599999998</v>
      </c>
      <c r="E178" s="33">
        <f>SUM(E167:E177)</f>
        <v>7981540</v>
      </c>
      <c r="F178" s="33">
        <f t="shared" si="40"/>
        <v>186935.74000000022</v>
      </c>
      <c r="G178" s="33"/>
      <c r="H178" s="38">
        <f t="shared" si="41"/>
        <v>2.3421011483999354</v>
      </c>
      <c r="I178" s="39">
        <f>SUM(I167:I177)</f>
        <v>8198941.0900000008</v>
      </c>
      <c r="J178" s="33">
        <f t="shared" si="42"/>
        <v>404336.83000000101</v>
      </c>
      <c r="K178" s="33"/>
      <c r="L178" s="33">
        <f t="shared" si="43"/>
        <v>4.9315737918053637</v>
      </c>
      <c r="M178" s="37">
        <f>SUM(M167:M177)</f>
        <v>7794604.2599999998</v>
      </c>
      <c r="N178" s="33">
        <f>SUM(N167:N177)</f>
        <v>7981540</v>
      </c>
      <c r="O178" s="33">
        <f t="shared" si="44"/>
        <v>186935.74000000022</v>
      </c>
      <c r="P178" s="33"/>
      <c r="Q178" s="33">
        <f t="shared" si="45"/>
        <v>2.3421011483999354</v>
      </c>
      <c r="R178" s="39">
        <f>SUM(R167:R177)</f>
        <v>8198941.0900000008</v>
      </c>
      <c r="S178" s="33">
        <f t="shared" si="46"/>
        <v>404336.83000000101</v>
      </c>
      <c r="T178" s="34"/>
      <c r="U178" s="34">
        <f t="shared" si="47"/>
        <v>4.9315737918053637</v>
      </c>
    </row>
    <row r="179" spans="1:21" hidden="1" outlineLevel="2">
      <c r="A179" s="22"/>
      <c r="B179" s="28">
        <v>7500</v>
      </c>
      <c r="C179" s="29" t="s">
        <v>196</v>
      </c>
      <c r="D179" s="5">
        <f>N(109305)</f>
        <v>109305</v>
      </c>
      <c r="E179" s="30">
        <f>N(63000)</f>
        <v>63000</v>
      </c>
      <c r="F179" s="30">
        <f t="shared" si="40"/>
        <v>-46305</v>
      </c>
      <c r="G179" s="30"/>
      <c r="H179" s="31">
        <f t="shared" si="41"/>
        <v>-73.5</v>
      </c>
      <c r="I179" s="32">
        <f>N(55417)</f>
        <v>55417</v>
      </c>
      <c r="J179" s="30">
        <f t="shared" si="42"/>
        <v>-53888</v>
      </c>
      <c r="K179" s="30"/>
      <c r="L179" s="30">
        <f t="shared" si="43"/>
        <v>-97.24091885161593</v>
      </c>
      <c r="M179" s="5">
        <f>N(109305)</f>
        <v>109305</v>
      </c>
      <c r="N179" s="30">
        <f>N(63000)</f>
        <v>63000</v>
      </c>
      <c r="O179" s="30">
        <f t="shared" si="44"/>
        <v>-46305</v>
      </c>
      <c r="P179" s="30"/>
      <c r="Q179" s="30">
        <f t="shared" si="45"/>
        <v>-73.5</v>
      </c>
      <c r="R179" s="32">
        <f>N(55417)</f>
        <v>55417</v>
      </c>
      <c r="S179" s="33">
        <f t="shared" si="46"/>
        <v>-53888</v>
      </c>
      <c r="T179" s="34"/>
      <c r="U179" s="34">
        <f t="shared" si="47"/>
        <v>-97.24091885161593</v>
      </c>
    </row>
    <row r="180" spans="1:21" hidden="1" outlineLevel="2">
      <c r="A180" s="22"/>
      <c r="B180" s="28">
        <v>7510</v>
      </c>
      <c r="C180" s="29" t="s">
        <v>197</v>
      </c>
      <c r="D180" s="5">
        <f>N(29926)</f>
        <v>29926</v>
      </c>
      <c r="E180" s="30">
        <f>N(0)</f>
        <v>0</v>
      </c>
      <c r="F180" s="30">
        <f t="shared" si="40"/>
        <v>-29926</v>
      </c>
      <c r="G180" s="30"/>
      <c r="H180" s="31">
        <f t="shared" si="41"/>
        <v>0</v>
      </c>
      <c r="I180" s="32">
        <f>N(29455)</f>
        <v>29455</v>
      </c>
      <c r="J180" s="30">
        <f t="shared" si="42"/>
        <v>-471</v>
      </c>
      <c r="K180" s="30"/>
      <c r="L180" s="30">
        <f t="shared" si="43"/>
        <v>-1.5990493973858428</v>
      </c>
      <c r="M180" s="5">
        <f>N(29926)</f>
        <v>29926</v>
      </c>
      <c r="N180" s="30">
        <f>N(0)</f>
        <v>0</v>
      </c>
      <c r="O180" s="30">
        <f t="shared" si="44"/>
        <v>-29926</v>
      </c>
      <c r="P180" s="30"/>
      <c r="Q180" s="30">
        <f t="shared" si="45"/>
        <v>0</v>
      </c>
      <c r="R180" s="32">
        <f>N(29455)</f>
        <v>29455</v>
      </c>
      <c r="S180" s="33">
        <f t="shared" si="46"/>
        <v>-471</v>
      </c>
      <c r="T180" s="34"/>
      <c r="U180" s="34">
        <f t="shared" si="47"/>
        <v>-1.5990493973858428</v>
      </c>
    </row>
    <row r="181" spans="1:21" hidden="1" outlineLevel="1" collapsed="1">
      <c r="A181" s="22"/>
      <c r="B181" s="35" t="str">
        <f>"    "&amp;"Forsikringspremie, garanti- og servicekostnad"</f>
        <v xml:space="preserve">    Forsikringspremie, garanti- og servicekostnad</v>
      </c>
      <c r="C181" s="36"/>
      <c r="D181" s="37">
        <f>SUM(D179:D180)</f>
        <v>139231</v>
      </c>
      <c r="E181" s="33">
        <f>SUM(E179:E180)</f>
        <v>63000</v>
      </c>
      <c r="F181" s="33">
        <f t="shared" si="40"/>
        <v>-76231</v>
      </c>
      <c r="G181" s="33"/>
      <c r="H181" s="38">
        <f t="shared" si="41"/>
        <v>-121.00158730158731</v>
      </c>
      <c r="I181" s="39">
        <f>SUM(I179:I180)</f>
        <v>84872</v>
      </c>
      <c r="J181" s="33">
        <f t="shared" si="42"/>
        <v>-54359</v>
      </c>
      <c r="K181" s="33"/>
      <c r="L181" s="33">
        <f t="shared" si="43"/>
        <v>-64.048213780752192</v>
      </c>
      <c r="M181" s="37">
        <f>SUM(M179:M180)</f>
        <v>139231</v>
      </c>
      <c r="N181" s="33">
        <f>SUM(N179:N180)</f>
        <v>63000</v>
      </c>
      <c r="O181" s="33">
        <f t="shared" si="44"/>
        <v>-76231</v>
      </c>
      <c r="P181" s="33"/>
      <c r="Q181" s="33">
        <f t="shared" si="45"/>
        <v>-121.00158730158731</v>
      </c>
      <c r="R181" s="39">
        <f>SUM(R179:R180)</f>
        <v>84872</v>
      </c>
      <c r="S181" s="33">
        <f t="shared" si="46"/>
        <v>-54359</v>
      </c>
      <c r="T181" s="34"/>
      <c r="U181" s="34">
        <f t="shared" si="47"/>
        <v>-64.048213780752192</v>
      </c>
    </row>
    <row r="182" spans="1:21" hidden="1" outlineLevel="2">
      <c r="A182" s="22"/>
      <c r="B182" s="28">
        <v>7200</v>
      </c>
      <c r="C182" s="29" t="s">
        <v>198</v>
      </c>
      <c r="D182" s="5">
        <f>N(0)</f>
        <v>0</v>
      </c>
      <c r="E182" s="30">
        <f>N(25000)</f>
        <v>25000</v>
      </c>
      <c r="F182" s="30">
        <f t="shared" si="40"/>
        <v>25000</v>
      </c>
      <c r="G182" s="30"/>
      <c r="H182" s="31">
        <f t="shared" si="41"/>
        <v>100</v>
      </c>
      <c r="I182" s="32">
        <f>N(0)</f>
        <v>0</v>
      </c>
      <c r="J182" s="30">
        <f t="shared" si="42"/>
        <v>0</v>
      </c>
      <c r="K182" s="30"/>
      <c r="L182" s="30">
        <f t="shared" si="43"/>
        <v>0</v>
      </c>
      <c r="M182" s="5">
        <f>N(0)</f>
        <v>0</v>
      </c>
      <c r="N182" s="30">
        <f>N(25000)</f>
        <v>25000</v>
      </c>
      <c r="O182" s="30">
        <f t="shared" si="44"/>
        <v>25000</v>
      </c>
      <c r="P182" s="30"/>
      <c r="Q182" s="30">
        <f t="shared" si="45"/>
        <v>100</v>
      </c>
      <c r="R182" s="32">
        <f>N(0)</f>
        <v>0</v>
      </c>
      <c r="S182" s="33">
        <f t="shared" si="46"/>
        <v>0</v>
      </c>
      <c r="T182" s="34"/>
      <c r="U182" s="34">
        <f t="shared" si="47"/>
        <v>0</v>
      </c>
    </row>
    <row r="183" spans="1:21" hidden="1" outlineLevel="2">
      <c r="A183" s="22"/>
      <c r="B183" s="28">
        <v>7700</v>
      </c>
      <c r="C183" s="29" t="s">
        <v>199</v>
      </c>
      <c r="D183" s="5">
        <f>N(727071.6)</f>
        <v>727071.6</v>
      </c>
      <c r="E183" s="30">
        <f>N(796000)</f>
        <v>796000</v>
      </c>
      <c r="F183" s="30">
        <f t="shared" si="40"/>
        <v>68928.400000000023</v>
      </c>
      <c r="G183" s="30"/>
      <c r="H183" s="31">
        <f t="shared" si="41"/>
        <v>8.6593467336683432</v>
      </c>
      <c r="I183" s="32">
        <f>N(446844.01)</f>
        <v>446844.01</v>
      </c>
      <c r="J183" s="30">
        <f t="shared" si="42"/>
        <v>-280227.58999999997</v>
      </c>
      <c r="K183" s="30"/>
      <c r="L183" s="30">
        <f t="shared" si="43"/>
        <v>-62.712620898733753</v>
      </c>
      <c r="M183" s="5">
        <f>N(727071.6)</f>
        <v>727071.6</v>
      </c>
      <c r="N183" s="30">
        <f>N(796000)</f>
        <v>796000</v>
      </c>
      <c r="O183" s="30">
        <f t="shared" si="44"/>
        <v>68928.400000000023</v>
      </c>
      <c r="P183" s="30"/>
      <c r="Q183" s="30">
        <f t="shared" si="45"/>
        <v>8.6593467336683432</v>
      </c>
      <c r="R183" s="32">
        <f>N(446844.01)</f>
        <v>446844.01</v>
      </c>
      <c r="S183" s="33">
        <f t="shared" si="46"/>
        <v>-280227.58999999997</v>
      </c>
      <c r="T183" s="34"/>
      <c r="U183" s="34">
        <f t="shared" si="47"/>
        <v>-62.712620898733753</v>
      </c>
    </row>
    <row r="184" spans="1:21" hidden="1" outlineLevel="2">
      <c r="A184" s="22"/>
      <c r="B184" s="28">
        <v>7710</v>
      </c>
      <c r="C184" s="29" t="s">
        <v>200</v>
      </c>
      <c r="D184" s="5">
        <f>N(64810.8)</f>
        <v>64810.8</v>
      </c>
      <c r="E184" s="30">
        <f>N(64800)</f>
        <v>64800</v>
      </c>
      <c r="F184" s="30">
        <f t="shared" si="40"/>
        <v>-10.80000000000291</v>
      </c>
      <c r="G184" s="30"/>
      <c r="H184" s="31">
        <f t="shared" si="41"/>
        <v>-1.6666666666671159E-2</v>
      </c>
      <c r="I184" s="32">
        <f>N(0)</f>
        <v>0</v>
      </c>
      <c r="J184" s="30">
        <f t="shared" si="42"/>
        <v>-64810.8</v>
      </c>
      <c r="K184" s="30"/>
      <c r="L184" s="30">
        <f t="shared" si="43"/>
        <v>0</v>
      </c>
      <c r="M184" s="5">
        <f>N(64810.8)</f>
        <v>64810.8</v>
      </c>
      <c r="N184" s="30">
        <f>N(64800)</f>
        <v>64800</v>
      </c>
      <c r="O184" s="30">
        <f t="shared" si="44"/>
        <v>-10.80000000000291</v>
      </c>
      <c r="P184" s="30"/>
      <c r="Q184" s="30">
        <f t="shared" si="45"/>
        <v>-1.6666666666671159E-2</v>
      </c>
      <c r="R184" s="32">
        <f>N(0)</f>
        <v>0</v>
      </c>
      <c r="S184" s="33">
        <f t="shared" si="46"/>
        <v>-64810.8</v>
      </c>
      <c r="T184" s="34"/>
      <c r="U184" s="34">
        <f t="shared" si="47"/>
        <v>0</v>
      </c>
    </row>
    <row r="185" spans="1:21" hidden="1" outlineLevel="2">
      <c r="A185" s="22"/>
      <c r="B185" s="28">
        <v>7720</v>
      </c>
      <c r="C185" s="29" t="s">
        <v>201</v>
      </c>
      <c r="D185" s="5">
        <f>N(421632.69)</f>
        <v>421632.69</v>
      </c>
      <c r="E185" s="30">
        <f>N(84000)</f>
        <v>84000</v>
      </c>
      <c r="F185" s="30">
        <f t="shared" si="40"/>
        <v>-337632.69</v>
      </c>
      <c r="G185" s="30"/>
      <c r="H185" s="31">
        <f t="shared" si="41"/>
        <v>-401.94367857142856</v>
      </c>
      <c r="I185" s="32">
        <f>N(11900)</f>
        <v>11900</v>
      </c>
      <c r="J185" s="30">
        <f t="shared" si="42"/>
        <v>-409732.69</v>
      </c>
      <c r="K185" s="30"/>
      <c r="L185" s="30">
        <f t="shared" si="43"/>
        <v>-3443.1318487394956</v>
      </c>
      <c r="M185" s="5">
        <f>N(421632.69)</f>
        <v>421632.69</v>
      </c>
      <c r="N185" s="30">
        <f>N(84000)</f>
        <v>84000</v>
      </c>
      <c r="O185" s="30">
        <f t="shared" si="44"/>
        <v>-337632.69</v>
      </c>
      <c r="P185" s="30"/>
      <c r="Q185" s="30">
        <f t="shared" si="45"/>
        <v>-401.94367857142856</v>
      </c>
      <c r="R185" s="32">
        <f>N(11900)</f>
        <v>11900</v>
      </c>
      <c r="S185" s="33">
        <f t="shared" si="46"/>
        <v>-409732.69</v>
      </c>
      <c r="T185" s="34"/>
      <c r="U185" s="34">
        <f t="shared" si="47"/>
        <v>-3443.1318487394956</v>
      </c>
    </row>
    <row r="186" spans="1:21" hidden="1" outlineLevel="2">
      <c r="A186" s="22"/>
      <c r="B186" s="28">
        <v>7770</v>
      </c>
      <c r="C186" s="29" t="s">
        <v>202</v>
      </c>
      <c r="D186" s="5">
        <f>N(53256.18)</f>
        <v>53256.18</v>
      </c>
      <c r="E186" s="30">
        <f>N(30000)</f>
        <v>30000</v>
      </c>
      <c r="F186" s="30">
        <f t="shared" si="40"/>
        <v>-23256.18</v>
      </c>
      <c r="G186" s="30"/>
      <c r="H186" s="31">
        <f t="shared" si="41"/>
        <v>-77.520600000000002</v>
      </c>
      <c r="I186" s="32">
        <f>N(41494.8)</f>
        <v>41494.800000000003</v>
      </c>
      <c r="J186" s="30">
        <f t="shared" si="42"/>
        <v>-11761.379999999997</v>
      </c>
      <c r="K186" s="30"/>
      <c r="L186" s="30">
        <f t="shared" si="43"/>
        <v>-28.344226264495784</v>
      </c>
      <c r="M186" s="5">
        <f>N(53256.18)</f>
        <v>53256.18</v>
      </c>
      <c r="N186" s="30">
        <f>N(30000)</f>
        <v>30000</v>
      </c>
      <c r="O186" s="30">
        <f t="shared" si="44"/>
        <v>-23256.18</v>
      </c>
      <c r="P186" s="30"/>
      <c r="Q186" s="30">
        <f t="shared" si="45"/>
        <v>-77.520600000000002</v>
      </c>
      <c r="R186" s="32">
        <f>N(41494.8)</f>
        <v>41494.800000000003</v>
      </c>
      <c r="S186" s="33">
        <f t="shared" si="46"/>
        <v>-11761.379999999997</v>
      </c>
      <c r="T186" s="34"/>
      <c r="U186" s="34">
        <f t="shared" si="47"/>
        <v>-28.344226264495784</v>
      </c>
    </row>
    <row r="187" spans="1:21" hidden="1" outlineLevel="2">
      <c r="A187" s="22"/>
      <c r="B187" s="28">
        <v>7790</v>
      </c>
      <c r="C187" s="29" t="s">
        <v>204</v>
      </c>
      <c r="D187" s="5">
        <f>N(10660.59)</f>
        <v>10660.59</v>
      </c>
      <c r="E187" s="30">
        <f>N(145470)</f>
        <v>145470</v>
      </c>
      <c r="F187" s="30">
        <f t="shared" si="40"/>
        <v>134809.41</v>
      </c>
      <c r="G187" s="30"/>
      <c r="H187" s="31">
        <f t="shared" si="41"/>
        <v>92.671623015054649</v>
      </c>
      <c r="I187" s="32">
        <f>N(3412.12)</f>
        <v>3412.12</v>
      </c>
      <c r="J187" s="30">
        <f t="shared" si="42"/>
        <v>-7248.47</v>
      </c>
      <c r="K187" s="30"/>
      <c r="L187" s="30">
        <f t="shared" si="43"/>
        <v>-212.43303283589088</v>
      </c>
      <c r="M187" s="5">
        <f>N(10660.59)</f>
        <v>10660.59</v>
      </c>
      <c r="N187" s="30">
        <f>N(145470)</f>
        <v>145470</v>
      </c>
      <c r="O187" s="30">
        <f t="shared" si="44"/>
        <v>134809.41</v>
      </c>
      <c r="P187" s="30"/>
      <c r="Q187" s="30">
        <f t="shared" si="45"/>
        <v>92.671623015054649</v>
      </c>
      <c r="R187" s="32">
        <f>N(3412.12)</f>
        <v>3412.12</v>
      </c>
      <c r="S187" s="33">
        <f t="shared" si="46"/>
        <v>-7248.47</v>
      </c>
      <c r="T187" s="34"/>
      <c r="U187" s="34">
        <f t="shared" si="47"/>
        <v>-212.43303283589088</v>
      </c>
    </row>
    <row r="188" spans="1:21" hidden="1" outlineLevel="2">
      <c r="A188" s="22"/>
      <c r="B188" s="28">
        <v>7792</v>
      </c>
      <c r="C188" s="29" t="s">
        <v>206</v>
      </c>
      <c r="D188" s="5">
        <f>N(34301)</f>
        <v>34301</v>
      </c>
      <c r="E188" s="30">
        <f>N(12900.4)</f>
        <v>12900.4</v>
      </c>
      <c r="F188" s="30">
        <f t="shared" si="40"/>
        <v>-21400.6</v>
      </c>
      <c r="G188" s="30"/>
      <c r="H188" s="31">
        <f t="shared" si="41"/>
        <v>-165.89098012464731</v>
      </c>
      <c r="I188" s="32">
        <f>N(20559.48)</f>
        <v>20559.48</v>
      </c>
      <c r="J188" s="30">
        <f t="shared" si="42"/>
        <v>-13741.52</v>
      </c>
      <c r="K188" s="30"/>
      <c r="L188" s="30">
        <f t="shared" si="43"/>
        <v>-66.837877222575671</v>
      </c>
      <c r="M188" s="5">
        <f>N(34301)</f>
        <v>34301</v>
      </c>
      <c r="N188" s="30">
        <f>N(12900.4)</f>
        <v>12900.4</v>
      </c>
      <c r="O188" s="30">
        <f t="shared" si="44"/>
        <v>-21400.6</v>
      </c>
      <c r="P188" s="30"/>
      <c r="Q188" s="30">
        <f t="shared" si="45"/>
        <v>-165.89098012464731</v>
      </c>
      <c r="R188" s="32">
        <f>N(20559.48)</f>
        <v>20559.48</v>
      </c>
      <c r="S188" s="33">
        <f t="shared" si="46"/>
        <v>-13741.52</v>
      </c>
      <c r="T188" s="34"/>
      <c r="U188" s="34">
        <f t="shared" si="47"/>
        <v>-66.837877222575671</v>
      </c>
    </row>
    <row r="189" spans="1:21" hidden="1" outlineLevel="1" collapsed="1">
      <c r="A189" s="22"/>
      <c r="B189" s="35" t="str">
        <f>"    "&amp;"Annen kostnad"</f>
        <v xml:space="preserve">    Annen kostnad</v>
      </c>
      <c r="C189" s="36"/>
      <c r="D189" s="37">
        <f>SUM(D182:D188)</f>
        <v>1311732.8600000001</v>
      </c>
      <c r="E189" s="33">
        <f>SUM(E182:E188)</f>
        <v>1158170.3999999999</v>
      </c>
      <c r="F189" s="33">
        <f t="shared" si="40"/>
        <v>-153562.4600000002</v>
      </c>
      <c r="G189" s="33"/>
      <c r="H189" s="38">
        <f t="shared" si="41"/>
        <v>-13.259055834961782</v>
      </c>
      <c r="I189" s="39">
        <f>SUM(I182:I188)</f>
        <v>524210.41</v>
      </c>
      <c r="J189" s="33">
        <f t="shared" si="42"/>
        <v>-787522.45000000019</v>
      </c>
      <c r="K189" s="33"/>
      <c r="L189" s="33">
        <f t="shared" si="43"/>
        <v>-150.23021957919534</v>
      </c>
      <c r="M189" s="37">
        <f>SUM(M182:M188)</f>
        <v>1311732.8600000001</v>
      </c>
      <c r="N189" s="33">
        <f>SUM(N182:N188)</f>
        <v>1158170.3999999999</v>
      </c>
      <c r="O189" s="33">
        <f t="shared" si="44"/>
        <v>-153562.4600000002</v>
      </c>
      <c r="P189" s="33"/>
      <c r="Q189" s="33">
        <f t="shared" si="45"/>
        <v>-13.259055834961782</v>
      </c>
      <c r="R189" s="39">
        <f>SUM(R182:R188)</f>
        <v>524210.41</v>
      </c>
      <c r="S189" s="33">
        <f t="shared" si="46"/>
        <v>-787522.45000000019</v>
      </c>
      <c r="T189" s="34"/>
      <c r="U189" s="34">
        <f t="shared" si="47"/>
        <v>-150.23021957919534</v>
      </c>
    </row>
    <row r="190" spans="1:21" hidden="1" outlineLevel="2">
      <c r="A190" s="22"/>
      <c r="B190" s="28">
        <v>7830</v>
      </c>
      <c r="C190" s="29" t="s">
        <v>207</v>
      </c>
      <c r="D190" s="5">
        <f>N(178621.51)</f>
        <v>178621.51</v>
      </c>
      <c r="E190" s="30">
        <f>N(0)</f>
        <v>0</v>
      </c>
      <c r="F190" s="30">
        <f t="shared" si="40"/>
        <v>-178621.51</v>
      </c>
      <c r="G190" s="30"/>
      <c r="H190" s="31">
        <f t="shared" si="41"/>
        <v>0</v>
      </c>
      <c r="I190" s="32">
        <f>N(0)</f>
        <v>0</v>
      </c>
      <c r="J190" s="30">
        <f t="shared" si="42"/>
        <v>-178621.51</v>
      </c>
      <c r="K190" s="30"/>
      <c r="L190" s="30">
        <f t="shared" si="43"/>
        <v>0</v>
      </c>
      <c r="M190" s="5">
        <f>N(178621.51)</f>
        <v>178621.51</v>
      </c>
      <c r="N190" s="30">
        <f>N(0)</f>
        <v>0</v>
      </c>
      <c r="O190" s="30">
        <f t="shared" si="44"/>
        <v>-178621.51</v>
      </c>
      <c r="P190" s="30"/>
      <c r="Q190" s="30">
        <f t="shared" si="45"/>
        <v>0</v>
      </c>
      <c r="R190" s="32">
        <f>N(0)</f>
        <v>0</v>
      </c>
      <c r="S190" s="33">
        <f t="shared" si="46"/>
        <v>-178621.51</v>
      </c>
      <c r="T190" s="34"/>
      <c r="U190" s="34">
        <f t="shared" si="47"/>
        <v>0</v>
      </c>
    </row>
    <row r="191" spans="1:21" hidden="1" outlineLevel="2">
      <c r="A191" s="22"/>
      <c r="B191" s="28">
        <v>7831</v>
      </c>
      <c r="C191" s="29" t="s">
        <v>208</v>
      </c>
      <c r="D191" s="5">
        <f>N(-195461.73)</f>
        <v>-195461.73</v>
      </c>
      <c r="E191" s="30">
        <f>N(0)</f>
        <v>0</v>
      </c>
      <c r="F191" s="30">
        <f t="shared" si="40"/>
        <v>195461.73</v>
      </c>
      <c r="G191" s="30"/>
      <c r="H191" s="31">
        <f t="shared" si="41"/>
        <v>0</v>
      </c>
      <c r="I191" s="32">
        <f>N(195461.73)</f>
        <v>195461.73</v>
      </c>
      <c r="J191" s="30">
        <f t="shared" si="42"/>
        <v>390923.46</v>
      </c>
      <c r="K191" s="30"/>
      <c r="L191" s="30">
        <f t="shared" si="43"/>
        <v>200</v>
      </c>
      <c r="M191" s="5">
        <f>N(-195461.73)</f>
        <v>-195461.73</v>
      </c>
      <c r="N191" s="30">
        <f>N(0)</f>
        <v>0</v>
      </c>
      <c r="O191" s="30">
        <f t="shared" si="44"/>
        <v>195461.73</v>
      </c>
      <c r="P191" s="30"/>
      <c r="Q191" s="30">
        <f t="shared" si="45"/>
        <v>0</v>
      </c>
      <c r="R191" s="32">
        <f>N(195461.73)</f>
        <v>195461.73</v>
      </c>
      <c r="S191" s="33">
        <f t="shared" si="46"/>
        <v>390923.46</v>
      </c>
      <c r="T191" s="34"/>
      <c r="U191" s="34">
        <f t="shared" si="47"/>
        <v>200</v>
      </c>
    </row>
    <row r="192" spans="1:21" hidden="1" outlineLevel="1" collapsed="1">
      <c r="A192" s="22"/>
      <c r="B192" s="35" t="str">
        <f>"    "&amp;"Tap o.l."</f>
        <v xml:space="preserve">    Tap o.l.</v>
      </c>
      <c r="C192" s="36"/>
      <c r="D192" s="37">
        <f>SUM(D190:D191)</f>
        <v>-16840.22</v>
      </c>
      <c r="E192" s="33">
        <f>SUM(E190:E191)</f>
        <v>0</v>
      </c>
      <c r="F192" s="33">
        <f>-D192+E192</f>
        <v>16840.22</v>
      </c>
      <c r="G192" s="33"/>
      <c r="H192" s="38">
        <f>IF(E192=0,0,F192*100/E192)</f>
        <v>0</v>
      </c>
      <c r="I192" s="39">
        <f>SUM(I190:I191)</f>
        <v>195461.73</v>
      </c>
      <c r="J192" s="33">
        <f>-D192+I192</f>
        <v>212301.95</v>
      </c>
      <c r="K192" s="33"/>
      <c r="L192" s="33">
        <f>IF(I192=0,0,J192*100/I192)</f>
        <v>108.61560981784004</v>
      </c>
      <c r="M192" s="37">
        <f>SUM(M190:M191)</f>
        <v>-16840.22</v>
      </c>
      <c r="N192" s="33">
        <f>SUM(N190:N191)</f>
        <v>0</v>
      </c>
      <c r="O192" s="33">
        <f>-M192+N192</f>
        <v>16840.22</v>
      </c>
      <c r="P192" s="33"/>
      <c r="Q192" s="33">
        <f>IF(N192=0,0,O192*100/N192)</f>
        <v>0</v>
      </c>
      <c r="R192" s="39">
        <f>SUM(R190:R191)</f>
        <v>195461.73</v>
      </c>
      <c r="S192" s="33">
        <f>-M192+R192</f>
        <v>212301.95</v>
      </c>
      <c r="T192" s="34"/>
      <c r="U192" s="34">
        <f>IF(R192=0,0,S192*100/R192)</f>
        <v>108.61560981784004</v>
      </c>
    </row>
    <row r="193" spans="1:21" collapsed="1">
      <c r="A193" s="22"/>
      <c r="B193" s="41" t="s">
        <v>18</v>
      </c>
      <c r="C193" s="42"/>
      <c r="D193" s="43">
        <f ca="1">SUM(OSRRefD18_2x_0)</f>
        <v>24399167.039999999</v>
      </c>
      <c r="E193" s="44">
        <f ca="1">SUM(OSRRefE18_2x_0)</f>
        <v>26773070.399999999</v>
      </c>
      <c r="F193" s="44">
        <f ca="1">-D193+E193</f>
        <v>2373903.3599999994</v>
      </c>
      <c r="G193" s="44"/>
      <c r="H193" s="45">
        <f ca="1">IF(E193=0,0,F193*100/E193)</f>
        <v>8.866757994256794</v>
      </c>
      <c r="I193" s="46">
        <f ca="1">SUM(OSRRefI18_2x_0)</f>
        <v>22962324.449999999</v>
      </c>
      <c r="J193" s="44">
        <f ca="1">-D193+I193</f>
        <v>-1436842.5899999999</v>
      </c>
      <c r="K193" s="44"/>
      <c r="L193" s="44">
        <f ca="1">IF(I193=0,0,J193*100/I193)</f>
        <v>-6.2573917249915008</v>
      </c>
      <c r="M193" s="43">
        <f ca="1">SUM(OSRRefM18_2x_0)</f>
        <v>24399167.039999999</v>
      </c>
      <c r="N193" s="44">
        <f ca="1">SUM(OSRRefN18_2x_0)</f>
        <v>26773070.399999999</v>
      </c>
      <c r="O193" s="44">
        <f ca="1">-M193+N193</f>
        <v>2373903.3599999994</v>
      </c>
      <c r="P193" s="44"/>
      <c r="Q193" s="44">
        <f ca="1">IF(N193=0,0,O193*100/N193)</f>
        <v>8.866757994256794</v>
      </c>
      <c r="R193" s="46">
        <f ca="1">SUM(OSRRefR18_2x_0)</f>
        <v>22962324.449999999</v>
      </c>
      <c r="S193" s="44">
        <f ca="1">-M193+R193</f>
        <v>-1436842.5899999999</v>
      </c>
      <c r="T193" s="47"/>
      <c r="U193" s="47">
        <f ca="1">IF(R193=0,0,S193*100/R193)</f>
        <v>-6.2573917249915008</v>
      </c>
    </row>
    <row r="194" spans="1:21">
      <c r="A194" s="22"/>
      <c r="B194" s="48" t="s">
        <v>19</v>
      </c>
      <c r="C194" s="49"/>
      <c r="D194" s="50">
        <f ca="1">SUM(OSRRefD19x_0)</f>
        <v>40676648.359999999</v>
      </c>
      <c r="E194" s="51">
        <f ca="1">SUM(OSRRefE19x_0)</f>
        <v>44088059.714537993</v>
      </c>
      <c r="F194" s="51">
        <f ca="1">-D194+E194</f>
        <v>3411411.3545379937</v>
      </c>
      <c r="G194" s="51"/>
      <c r="H194" s="52">
        <f ca="1">IF(E194=0,0,F194*100/E194)</f>
        <v>7.7377216793532062</v>
      </c>
      <c r="I194" s="53">
        <f ca="1">SUM(OSRRefI19x_0)</f>
        <v>39256862.660000004</v>
      </c>
      <c r="J194" s="51">
        <f ca="1">-D194+I194</f>
        <v>-1419785.6999999955</v>
      </c>
      <c r="K194" s="51"/>
      <c r="L194" s="51">
        <f ca="1">IF(I194=0,0,J194*100/I194)</f>
        <v>-3.616656053991441</v>
      </c>
      <c r="M194" s="50">
        <f ca="1">SUM(OSRRefM19x_0)</f>
        <v>40676648.359999999</v>
      </c>
      <c r="N194" s="51">
        <f ca="1">SUM(OSRRefN19x_0)</f>
        <v>44088059.714537993</v>
      </c>
      <c r="O194" s="51">
        <f ca="1">-M194+N194</f>
        <v>3411411.3545379937</v>
      </c>
      <c r="P194" s="51"/>
      <c r="Q194" s="51">
        <f ca="1">IF(N194=0,0,O194*100/N194)</f>
        <v>7.7377216793532062</v>
      </c>
      <c r="R194" s="53">
        <f ca="1">SUM(OSRRefR19x_0)</f>
        <v>39256862.660000004</v>
      </c>
      <c r="S194" s="51">
        <f ca="1">-M194+R194</f>
        <v>-1419785.6999999955</v>
      </c>
      <c r="T194" s="54"/>
      <c r="U194" s="54">
        <f ca="1">IF(R194=0,0,S194*100/R194)</f>
        <v>-3.616656053991441</v>
      </c>
    </row>
    <row r="195" spans="1:21" ht="9.75" customHeight="1">
      <c r="B195" s="57"/>
      <c r="C195" s="24"/>
      <c r="D195" s="58"/>
      <c r="F195" s="59"/>
      <c r="G195" s="59"/>
      <c r="H195" s="60"/>
      <c r="I195" s="61"/>
      <c r="J195" s="59"/>
      <c r="K195" s="59"/>
      <c r="L195" s="59"/>
      <c r="M195" s="62"/>
      <c r="O195" s="59"/>
      <c r="P195" s="59"/>
      <c r="Q195" s="59"/>
      <c r="R195" s="56"/>
      <c r="S195" s="59"/>
      <c r="T195" s="63"/>
      <c r="U195" s="63"/>
    </row>
    <row r="196" spans="1:21" ht="15.6">
      <c r="B196" s="64" t="s">
        <v>209</v>
      </c>
      <c r="C196" s="65"/>
      <c r="D196" s="66">
        <f ca="1">SUM(D45)-SUM(D194)</f>
        <v>2935347.1499999985</v>
      </c>
      <c r="E196" s="67">
        <f ca="1">SUM(E45)-SUM(E194)</f>
        <v>-1429000.7145379931</v>
      </c>
      <c r="F196" s="67">
        <f ca="1">D196-E196</f>
        <v>4364347.8645379916</v>
      </c>
      <c r="G196" s="67"/>
      <c r="H196" s="68">
        <f ca="1">IF(E196=0,0,F196*100/E196)</f>
        <v>-305.41257398524243</v>
      </c>
      <c r="I196" s="69">
        <f ca="1">SUM(I45)-SUM(I194)</f>
        <v>1713800.1199999899</v>
      </c>
      <c r="J196" s="67">
        <f ca="1">D196-I196</f>
        <v>1221547.0300000086</v>
      </c>
      <c r="K196" s="67"/>
      <c r="L196" s="67">
        <f ca="1">IF(I196=0,0,J196*100/I196)</f>
        <v>71.277100272347738</v>
      </c>
      <c r="M196" s="66">
        <f ca="1">SUM(M45)-SUM(M194)</f>
        <v>2935347.1499999985</v>
      </c>
      <c r="N196" s="67">
        <f ca="1">SUM(N45)-SUM(N194)</f>
        <v>-1429000.7145379931</v>
      </c>
      <c r="O196" s="67">
        <f ca="1">M196-N196</f>
        <v>4364347.8645379916</v>
      </c>
      <c r="P196" s="67"/>
      <c r="Q196" s="67">
        <f ca="1">IF(N196=0,0,O196*100/N196)</f>
        <v>-305.41257398524243</v>
      </c>
      <c r="R196" s="69">
        <f ca="1">SUM(R45)-SUM(R194)</f>
        <v>1713800.1199999899</v>
      </c>
      <c r="S196" s="67">
        <f ca="1">M196-R196</f>
        <v>1221547.0300000086</v>
      </c>
      <c r="T196" s="70"/>
      <c r="U196" s="71">
        <f ca="1">IF(R196=0,0,S196*100/R196)</f>
        <v>71.277100272347738</v>
      </c>
    </row>
    <row r="197" spans="1:21">
      <c r="B197" s="27"/>
      <c r="C197" s="24"/>
      <c r="D197" s="27"/>
      <c r="F197" s="72"/>
      <c r="G197" s="72"/>
      <c r="H197" s="73"/>
      <c r="I197" s="56"/>
      <c r="J197" s="72"/>
      <c r="K197" s="72"/>
      <c r="L197" s="72"/>
      <c r="M197" s="27"/>
      <c r="O197" s="72"/>
      <c r="P197" s="72"/>
      <c r="Q197" s="72"/>
      <c r="R197" s="56"/>
      <c r="S197" s="72"/>
      <c r="T197" s="74"/>
      <c r="U197" s="74"/>
    </row>
    <row r="198" spans="1:21" hidden="1" outlineLevel="2">
      <c r="A198" s="22"/>
      <c r="B198" s="28">
        <v>8050</v>
      </c>
      <c r="C198" s="29" t="s">
        <v>210</v>
      </c>
      <c r="D198" s="5">
        <f>-N(-856042.65)</f>
        <v>856042.65</v>
      </c>
      <c r="E198" s="30">
        <f>-N(0)</f>
        <v>0</v>
      </c>
      <c r="F198" s="30">
        <f t="shared" ref="F198:F204" si="48">D198-E198</f>
        <v>856042.65</v>
      </c>
      <c r="G198" s="30"/>
      <c r="H198" s="31">
        <f t="shared" ref="H198:H212" si="49">IF(E198=0,0,F198*100/E198)</f>
        <v>0</v>
      </c>
      <c r="I198" s="32">
        <f>-N(-1204132.91)</f>
        <v>1204132.9099999999</v>
      </c>
      <c r="J198" s="30">
        <f t="shared" ref="J198:J204" si="50">D198-I198</f>
        <v>-348090.25999999989</v>
      </c>
      <c r="K198" s="30"/>
      <c r="L198" s="30">
        <f t="shared" ref="L198:L212" si="51">IF(I198=0,0,J198*100/I198)</f>
        <v>-28.907960002521644</v>
      </c>
      <c r="M198" s="5">
        <f>-N(-856042.65)</f>
        <v>856042.65</v>
      </c>
      <c r="N198" s="30">
        <f>-N(0)</f>
        <v>0</v>
      </c>
      <c r="O198" s="30">
        <f t="shared" ref="O198:O204" si="52">M198-N198</f>
        <v>856042.65</v>
      </c>
      <c r="P198" s="30"/>
      <c r="Q198" s="30">
        <f t="shared" ref="Q198:Q212" si="53">IF(N198=0,0,O198*100/N198)</f>
        <v>0</v>
      </c>
      <c r="R198" s="32">
        <f>-N(-1204132.91)</f>
        <v>1204132.9099999999</v>
      </c>
      <c r="S198" s="33">
        <f t="shared" ref="S198:S204" si="54">M198-R198</f>
        <v>-348090.25999999989</v>
      </c>
      <c r="T198" s="34"/>
      <c r="U198" s="34">
        <f t="shared" ref="U198:U212" si="55">IF(R198=0,0,S198*100/R198)</f>
        <v>-28.907960002521644</v>
      </c>
    </row>
    <row r="199" spans="1:21" hidden="1" outlineLevel="2">
      <c r="A199" s="22"/>
      <c r="B199" s="28">
        <v>8060</v>
      </c>
      <c r="C199" s="29" t="s">
        <v>211</v>
      </c>
      <c r="D199" s="5">
        <f>-N(-10539.76)</f>
        <v>10539.76</v>
      </c>
      <c r="E199" s="30">
        <f>-N(0)</f>
        <v>0</v>
      </c>
      <c r="F199" s="30">
        <f t="shared" si="48"/>
        <v>10539.76</v>
      </c>
      <c r="G199" s="30"/>
      <c r="H199" s="31">
        <f t="shared" si="49"/>
        <v>0</v>
      </c>
      <c r="I199" s="32">
        <f>-N(-4727.3)</f>
        <v>4727.3</v>
      </c>
      <c r="J199" s="30">
        <f t="shared" si="50"/>
        <v>5812.46</v>
      </c>
      <c r="K199" s="30"/>
      <c r="L199" s="30">
        <f t="shared" si="51"/>
        <v>122.95517525860427</v>
      </c>
      <c r="M199" s="5">
        <f>-N(-10539.76)</f>
        <v>10539.76</v>
      </c>
      <c r="N199" s="30">
        <f>-N(0)</f>
        <v>0</v>
      </c>
      <c r="O199" s="30">
        <f t="shared" si="52"/>
        <v>10539.76</v>
      </c>
      <c r="P199" s="30"/>
      <c r="Q199" s="30">
        <f t="shared" si="53"/>
        <v>0</v>
      </c>
      <c r="R199" s="32">
        <f>-N(-4727.3)</f>
        <v>4727.3</v>
      </c>
      <c r="S199" s="33">
        <f t="shared" si="54"/>
        <v>5812.46</v>
      </c>
      <c r="T199" s="34"/>
      <c r="U199" s="34">
        <f t="shared" si="55"/>
        <v>122.95517525860427</v>
      </c>
    </row>
    <row r="200" spans="1:21" hidden="1" outlineLevel="2">
      <c r="A200" s="22"/>
      <c r="B200" s="28">
        <v>8071</v>
      </c>
      <c r="C200" s="29" t="s">
        <v>212</v>
      </c>
      <c r="D200" s="5">
        <f>-N(-291560.05)</f>
        <v>291560.05</v>
      </c>
      <c r="E200" s="30">
        <f>-N(0)</f>
        <v>0</v>
      </c>
      <c r="F200" s="30">
        <f t="shared" si="48"/>
        <v>291560.05</v>
      </c>
      <c r="G200" s="30"/>
      <c r="H200" s="31">
        <f t="shared" si="49"/>
        <v>0</v>
      </c>
      <c r="I200" s="32">
        <f>-N(-256666.67)</f>
        <v>256666.67</v>
      </c>
      <c r="J200" s="30">
        <f t="shared" si="50"/>
        <v>34893.379999999976</v>
      </c>
      <c r="K200" s="30"/>
      <c r="L200" s="30">
        <f t="shared" si="51"/>
        <v>13.594823200067221</v>
      </c>
      <c r="M200" s="5">
        <f>-N(-291560.05)</f>
        <v>291560.05</v>
      </c>
      <c r="N200" s="30">
        <f>-N(0)</f>
        <v>0</v>
      </c>
      <c r="O200" s="30">
        <f t="shared" si="52"/>
        <v>291560.05</v>
      </c>
      <c r="P200" s="30"/>
      <c r="Q200" s="30">
        <f t="shared" si="53"/>
        <v>0</v>
      </c>
      <c r="R200" s="32">
        <f>-N(-256666.67)</f>
        <v>256666.67</v>
      </c>
      <c r="S200" s="33">
        <f t="shared" si="54"/>
        <v>34893.379999999976</v>
      </c>
      <c r="T200" s="34"/>
      <c r="U200" s="34">
        <f t="shared" si="55"/>
        <v>13.594823200067221</v>
      </c>
    </row>
    <row r="201" spans="1:21" hidden="1" outlineLevel="2">
      <c r="A201" s="22"/>
      <c r="B201" s="28">
        <v>8080</v>
      </c>
      <c r="C201" s="29" t="s">
        <v>214</v>
      </c>
      <c r="D201" s="5">
        <f>-N(0)</f>
        <v>0</v>
      </c>
      <c r="E201" s="30">
        <f>-N(0)</f>
        <v>0</v>
      </c>
      <c r="F201" s="30">
        <f t="shared" si="48"/>
        <v>0</v>
      </c>
      <c r="G201" s="30"/>
      <c r="H201" s="31">
        <f t="shared" si="49"/>
        <v>0</v>
      </c>
      <c r="I201" s="32">
        <f>-N(-1304533.78)</f>
        <v>1304533.78</v>
      </c>
      <c r="J201" s="30">
        <f t="shared" si="50"/>
        <v>-1304533.78</v>
      </c>
      <c r="K201" s="30"/>
      <c r="L201" s="30">
        <f t="shared" si="51"/>
        <v>-100</v>
      </c>
      <c r="M201" s="5">
        <f>-N(0)</f>
        <v>0</v>
      </c>
      <c r="N201" s="30">
        <f>-N(0)</f>
        <v>0</v>
      </c>
      <c r="O201" s="30">
        <f t="shared" si="52"/>
        <v>0</v>
      </c>
      <c r="P201" s="30"/>
      <c r="Q201" s="30">
        <f t="shared" si="53"/>
        <v>0</v>
      </c>
      <c r="R201" s="32">
        <f>-N(-1304533.78)</f>
        <v>1304533.78</v>
      </c>
      <c r="S201" s="33">
        <f t="shared" si="54"/>
        <v>-1304533.78</v>
      </c>
      <c r="T201" s="34"/>
      <c r="U201" s="34">
        <f t="shared" si="55"/>
        <v>-100</v>
      </c>
    </row>
    <row r="202" spans="1:21" hidden="1" outlineLevel="2">
      <c r="A202" s="22"/>
      <c r="B202" s="28">
        <v>8910</v>
      </c>
      <c r="C202" s="29" t="s">
        <v>215</v>
      </c>
      <c r="D202" s="5">
        <f>-N(0)</f>
        <v>0</v>
      </c>
      <c r="E202" s="30">
        <f>-N(-1400000)</f>
        <v>1400000</v>
      </c>
      <c r="F202" s="30">
        <f t="shared" si="48"/>
        <v>-1400000</v>
      </c>
      <c r="G202" s="30"/>
      <c r="H202" s="31">
        <f t="shared" si="49"/>
        <v>-100</v>
      </c>
      <c r="I202" s="32">
        <f>-N(0)</f>
        <v>0</v>
      </c>
      <c r="J202" s="30">
        <f t="shared" si="50"/>
        <v>0</v>
      </c>
      <c r="K202" s="30"/>
      <c r="L202" s="30">
        <f t="shared" si="51"/>
        <v>0</v>
      </c>
      <c r="M202" s="5">
        <f>-N(0)</f>
        <v>0</v>
      </c>
      <c r="N202" s="30">
        <f>-N(-1400000)</f>
        <v>1400000</v>
      </c>
      <c r="O202" s="30">
        <f t="shared" si="52"/>
        <v>-1400000</v>
      </c>
      <c r="P202" s="30"/>
      <c r="Q202" s="30">
        <f t="shared" si="53"/>
        <v>-100</v>
      </c>
      <c r="R202" s="32">
        <f>-N(0)</f>
        <v>0</v>
      </c>
      <c r="S202" s="33">
        <f t="shared" si="54"/>
        <v>0</v>
      </c>
      <c r="T202" s="34"/>
      <c r="U202" s="34">
        <f t="shared" si="55"/>
        <v>0</v>
      </c>
    </row>
    <row r="203" spans="1:21" hidden="1" outlineLevel="1" collapsed="1">
      <c r="A203" s="22"/>
      <c r="B203" s="35" t="str">
        <f>"    "&amp;"Finansinntekt"</f>
        <v xml:space="preserve">    Finansinntekt</v>
      </c>
      <c r="C203" s="36"/>
      <c r="D203" s="37">
        <f>SUM(D198:D202)</f>
        <v>1158142.46</v>
      </c>
      <c r="E203" s="33">
        <f>SUM(E198:E202)</f>
        <v>1400000</v>
      </c>
      <c r="F203" s="33">
        <f t="shared" si="48"/>
        <v>-241857.54000000004</v>
      </c>
      <c r="G203" s="33"/>
      <c r="H203" s="38">
        <f t="shared" si="49"/>
        <v>-17.275538571428573</v>
      </c>
      <c r="I203" s="39">
        <f>SUM(I198:I202)</f>
        <v>2770060.66</v>
      </c>
      <c r="J203" s="33">
        <f t="shared" si="50"/>
        <v>-1611918.2000000002</v>
      </c>
      <c r="K203" s="33"/>
      <c r="L203" s="33">
        <f t="shared" si="51"/>
        <v>-58.190718466071431</v>
      </c>
      <c r="M203" s="37">
        <f>SUM(M198:M202)</f>
        <v>1158142.46</v>
      </c>
      <c r="N203" s="33">
        <f>SUM(N198:N202)</f>
        <v>1400000</v>
      </c>
      <c r="O203" s="33">
        <f t="shared" si="52"/>
        <v>-241857.54000000004</v>
      </c>
      <c r="P203" s="33"/>
      <c r="Q203" s="33">
        <f t="shared" si="53"/>
        <v>-17.275538571428573</v>
      </c>
      <c r="R203" s="39">
        <f>SUM(R198:R202)</f>
        <v>2770060.66</v>
      </c>
      <c r="S203" s="33">
        <f t="shared" si="54"/>
        <v>-1611918.2000000002</v>
      </c>
      <c r="T203" s="34"/>
      <c r="U203" s="34">
        <f t="shared" si="55"/>
        <v>-58.190718466071431</v>
      </c>
    </row>
    <row r="204" spans="1:21" collapsed="1">
      <c r="A204" s="22"/>
      <c r="B204" s="41" t="s">
        <v>216</v>
      </c>
      <c r="C204" s="42"/>
      <c r="D204" s="43">
        <f>SUM(D203)</f>
        <v>1158142.46</v>
      </c>
      <c r="E204" s="44">
        <f>SUM(E203)</f>
        <v>1400000</v>
      </c>
      <c r="F204" s="44">
        <f t="shared" si="48"/>
        <v>-241857.54000000004</v>
      </c>
      <c r="G204" s="44"/>
      <c r="H204" s="45">
        <f t="shared" si="49"/>
        <v>-17.275538571428573</v>
      </c>
      <c r="I204" s="46">
        <f>SUM(I203)</f>
        <v>2770060.66</v>
      </c>
      <c r="J204" s="44">
        <f t="shared" si="50"/>
        <v>-1611918.2000000002</v>
      </c>
      <c r="K204" s="44"/>
      <c r="L204" s="44">
        <f t="shared" si="51"/>
        <v>-58.190718466071431</v>
      </c>
      <c r="M204" s="43">
        <f>SUM(M203)</f>
        <v>1158142.46</v>
      </c>
      <c r="N204" s="44">
        <f>SUM(N203)</f>
        <v>1400000</v>
      </c>
      <c r="O204" s="44">
        <f t="shared" si="52"/>
        <v>-241857.54000000004</v>
      </c>
      <c r="P204" s="44"/>
      <c r="Q204" s="44">
        <f t="shared" si="53"/>
        <v>-17.275538571428573</v>
      </c>
      <c r="R204" s="46">
        <f>SUM(R203)</f>
        <v>2770060.66</v>
      </c>
      <c r="S204" s="44">
        <f t="shared" si="54"/>
        <v>-1611918.2000000002</v>
      </c>
      <c r="T204" s="47"/>
      <c r="U204" s="47">
        <f t="shared" si="55"/>
        <v>-58.190718466071431</v>
      </c>
    </row>
    <row r="205" spans="1:21" hidden="1" outlineLevel="2">
      <c r="A205" s="22"/>
      <c r="B205" s="28">
        <v>8100</v>
      </c>
      <c r="C205" s="29" t="s">
        <v>218</v>
      </c>
      <c r="D205" s="5">
        <f>N(739071.13)</f>
        <v>739071.13</v>
      </c>
      <c r="E205" s="30">
        <f>N(0)</f>
        <v>0</v>
      </c>
      <c r="F205" s="30">
        <f t="shared" ref="F205:F211" si="56">-D205+E205</f>
        <v>-739071.13</v>
      </c>
      <c r="G205" s="30"/>
      <c r="H205" s="31">
        <f t="shared" si="49"/>
        <v>0</v>
      </c>
      <c r="I205" s="32">
        <f>N(0)</f>
        <v>0</v>
      </c>
      <c r="J205" s="30">
        <f t="shared" ref="J205:J211" si="57">-D205+I205</f>
        <v>-739071.13</v>
      </c>
      <c r="K205" s="30"/>
      <c r="L205" s="30">
        <f t="shared" si="51"/>
        <v>0</v>
      </c>
      <c r="M205" s="5">
        <f>N(739071.13)</f>
        <v>739071.13</v>
      </c>
      <c r="N205" s="30">
        <f>N(0)</f>
        <v>0</v>
      </c>
      <c r="O205" s="30">
        <f t="shared" ref="O205:O211" si="58">-M205+N205</f>
        <v>-739071.13</v>
      </c>
      <c r="P205" s="30"/>
      <c r="Q205" s="30">
        <f t="shared" si="53"/>
        <v>0</v>
      </c>
      <c r="R205" s="32">
        <f>N(0)</f>
        <v>0</v>
      </c>
      <c r="S205" s="30">
        <f t="shared" ref="S205:S211" si="59">-M205+R205</f>
        <v>-739071.13</v>
      </c>
      <c r="T205" s="75"/>
      <c r="U205" s="75">
        <f t="shared" si="55"/>
        <v>0</v>
      </c>
    </row>
    <row r="206" spans="1:21" hidden="1" outlineLevel="2">
      <c r="A206" s="22"/>
      <c r="B206" s="28">
        <v>8130</v>
      </c>
      <c r="C206" s="29" t="s">
        <v>220</v>
      </c>
      <c r="D206" s="5">
        <f>N(0)</f>
        <v>0</v>
      </c>
      <c r="E206" s="30">
        <f>N(0)</f>
        <v>0</v>
      </c>
      <c r="F206" s="30">
        <f t="shared" si="56"/>
        <v>0</v>
      </c>
      <c r="G206" s="30"/>
      <c r="H206" s="31">
        <f t="shared" si="49"/>
        <v>0</v>
      </c>
      <c r="I206" s="32">
        <f>N(0)</f>
        <v>0</v>
      </c>
      <c r="J206" s="30">
        <f t="shared" si="57"/>
        <v>0</v>
      </c>
      <c r="K206" s="30"/>
      <c r="L206" s="30">
        <f t="shared" si="51"/>
        <v>0</v>
      </c>
      <c r="M206" s="5">
        <f>N(0)</f>
        <v>0</v>
      </c>
      <c r="N206" s="30">
        <f>N(0)</f>
        <v>0</v>
      </c>
      <c r="O206" s="30">
        <f t="shared" si="58"/>
        <v>0</v>
      </c>
      <c r="P206" s="30"/>
      <c r="Q206" s="30">
        <f t="shared" si="53"/>
        <v>0</v>
      </c>
      <c r="R206" s="32">
        <f>N(0)</f>
        <v>0</v>
      </c>
      <c r="S206" s="30">
        <f t="shared" si="59"/>
        <v>0</v>
      </c>
      <c r="T206" s="75"/>
      <c r="U206" s="75">
        <f t="shared" si="55"/>
        <v>0</v>
      </c>
    </row>
    <row r="207" spans="1:21" hidden="1" outlineLevel="2">
      <c r="A207" s="22"/>
      <c r="B207" s="28">
        <v>8150</v>
      </c>
      <c r="C207" s="29" t="s">
        <v>221</v>
      </c>
      <c r="D207" s="5">
        <f>N(3279)</f>
        <v>3279</v>
      </c>
      <c r="E207" s="30">
        <f>N(0)</f>
        <v>0</v>
      </c>
      <c r="F207" s="30">
        <f t="shared" si="56"/>
        <v>-3279</v>
      </c>
      <c r="G207" s="30"/>
      <c r="H207" s="31">
        <f t="shared" si="49"/>
        <v>0</v>
      </c>
      <c r="I207" s="32">
        <f>N(4205.2)</f>
        <v>4205.2</v>
      </c>
      <c r="J207" s="30">
        <f t="shared" si="57"/>
        <v>926.19999999999982</v>
      </c>
      <c r="K207" s="30"/>
      <c r="L207" s="30">
        <f t="shared" si="51"/>
        <v>22.025111766384473</v>
      </c>
      <c r="M207" s="5">
        <f>N(3279)</f>
        <v>3279</v>
      </c>
      <c r="N207" s="30">
        <f>N(0)</f>
        <v>0</v>
      </c>
      <c r="O207" s="30">
        <f t="shared" si="58"/>
        <v>-3279</v>
      </c>
      <c r="P207" s="30"/>
      <c r="Q207" s="30">
        <f t="shared" si="53"/>
        <v>0</v>
      </c>
      <c r="R207" s="32">
        <f>N(4205.2)</f>
        <v>4205.2</v>
      </c>
      <c r="S207" s="30">
        <f t="shared" si="59"/>
        <v>926.19999999999982</v>
      </c>
      <c r="T207" s="75"/>
      <c r="U207" s="75">
        <f t="shared" si="55"/>
        <v>22.025111766384473</v>
      </c>
    </row>
    <row r="208" spans="1:21" hidden="1" outlineLevel="2">
      <c r="A208" s="22"/>
      <c r="B208" s="28">
        <v>8155</v>
      </c>
      <c r="C208" s="29" t="s">
        <v>222</v>
      </c>
      <c r="D208" s="5">
        <f>N(475.64)</f>
        <v>475.64</v>
      </c>
      <c r="E208" s="30">
        <f>N(0)</f>
        <v>0</v>
      </c>
      <c r="F208" s="30">
        <f t="shared" si="56"/>
        <v>-475.64</v>
      </c>
      <c r="G208" s="30"/>
      <c r="H208" s="31">
        <f t="shared" si="49"/>
        <v>0</v>
      </c>
      <c r="I208" s="32">
        <f>N(291.04)</f>
        <v>291.04000000000002</v>
      </c>
      <c r="J208" s="30">
        <f t="shared" si="57"/>
        <v>-184.59999999999997</v>
      </c>
      <c r="K208" s="30"/>
      <c r="L208" s="30">
        <f t="shared" si="51"/>
        <v>-63.427707531610757</v>
      </c>
      <c r="M208" s="5">
        <f>N(475.64)</f>
        <v>475.64</v>
      </c>
      <c r="N208" s="30">
        <f>N(0)</f>
        <v>0</v>
      </c>
      <c r="O208" s="30">
        <f t="shared" si="58"/>
        <v>-475.64</v>
      </c>
      <c r="P208" s="30"/>
      <c r="Q208" s="30">
        <f t="shared" si="53"/>
        <v>0</v>
      </c>
      <c r="R208" s="32">
        <f>N(291.04)</f>
        <v>291.04000000000002</v>
      </c>
      <c r="S208" s="30">
        <f t="shared" si="59"/>
        <v>-184.59999999999997</v>
      </c>
      <c r="T208" s="75"/>
      <c r="U208" s="75">
        <f t="shared" si="55"/>
        <v>-63.427707531610757</v>
      </c>
    </row>
    <row r="209" spans="1:22" hidden="1" outlineLevel="2">
      <c r="A209" s="22"/>
      <c r="B209" s="28">
        <v>8160</v>
      </c>
      <c r="C209" s="29" t="s">
        <v>223</v>
      </c>
      <c r="D209" s="5">
        <f>N(8885.24)</f>
        <v>8885.24</v>
      </c>
      <c r="E209" s="30">
        <f>N(0)</f>
        <v>0</v>
      </c>
      <c r="F209" s="30">
        <f t="shared" si="56"/>
        <v>-8885.24</v>
      </c>
      <c r="G209" s="30"/>
      <c r="H209" s="31">
        <f t="shared" si="49"/>
        <v>0</v>
      </c>
      <c r="I209" s="32">
        <f>N(18037.04)</f>
        <v>18037.04</v>
      </c>
      <c r="J209" s="30">
        <f t="shared" si="57"/>
        <v>9151.8000000000011</v>
      </c>
      <c r="K209" s="30"/>
      <c r="L209" s="30">
        <f t="shared" si="51"/>
        <v>50.738923903256861</v>
      </c>
      <c r="M209" s="5">
        <f>N(8885.24)</f>
        <v>8885.24</v>
      </c>
      <c r="N209" s="30">
        <f>N(0)</f>
        <v>0</v>
      </c>
      <c r="O209" s="30">
        <f t="shared" si="58"/>
        <v>-8885.24</v>
      </c>
      <c r="P209" s="30"/>
      <c r="Q209" s="30">
        <f t="shared" si="53"/>
        <v>0</v>
      </c>
      <c r="R209" s="32">
        <f>N(18037.04)</f>
        <v>18037.04</v>
      </c>
      <c r="S209" s="30">
        <f t="shared" si="59"/>
        <v>9151.8000000000011</v>
      </c>
      <c r="T209" s="75"/>
      <c r="U209" s="75">
        <f t="shared" si="55"/>
        <v>50.738923903256861</v>
      </c>
    </row>
    <row r="210" spans="1:22" hidden="1" outlineLevel="1" collapsed="1">
      <c r="A210" s="22"/>
      <c r="B210" s="35" t="str">
        <f>"    "&amp;"Finanskostnad"</f>
        <v xml:space="preserve">    Finanskostnad</v>
      </c>
      <c r="C210" s="36"/>
      <c r="D210" s="37">
        <f>SUM(D205:D209)</f>
        <v>751711.01</v>
      </c>
      <c r="E210" s="33">
        <f>SUM(E205:E209)</f>
        <v>0</v>
      </c>
      <c r="F210" s="33">
        <f t="shared" si="56"/>
        <v>-751711.01</v>
      </c>
      <c r="G210" s="33"/>
      <c r="H210" s="38">
        <f t="shared" si="49"/>
        <v>0</v>
      </c>
      <c r="I210" s="39">
        <f>SUM(I205:I209)</f>
        <v>22533.279999999999</v>
      </c>
      <c r="J210" s="33">
        <f t="shared" si="57"/>
        <v>-729177.73</v>
      </c>
      <c r="K210" s="33"/>
      <c r="L210" s="33">
        <f t="shared" si="51"/>
        <v>-3236.0035023751539</v>
      </c>
      <c r="M210" s="37">
        <f>SUM(M205:M209)</f>
        <v>751711.01</v>
      </c>
      <c r="N210" s="33">
        <f>SUM(N205:N209)</f>
        <v>0</v>
      </c>
      <c r="O210" s="33">
        <f t="shared" si="58"/>
        <v>-751711.01</v>
      </c>
      <c r="P210" s="33"/>
      <c r="Q210" s="33">
        <f t="shared" si="53"/>
        <v>0</v>
      </c>
      <c r="R210" s="39">
        <f>SUM(R205:R209)</f>
        <v>22533.279999999999</v>
      </c>
      <c r="S210" s="33">
        <f t="shared" si="59"/>
        <v>-729177.73</v>
      </c>
      <c r="T210" s="34"/>
      <c r="U210" s="34">
        <f t="shared" si="55"/>
        <v>-3236.0035023751539</v>
      </c>
    </row>
    <row r="211" spans="1:22" collapsed="1">
      <c r="A211" s="22"/>
      <c r="B211" s="41" t="s">
        <v>225</v>
      </c>
      <c r="C211" s="42"/>
      <c r="D211" s="43">
        <f>SUM(D210)</f>
        <v>751711.01</v>
      </c>
      <c r="E211" s="44">
        <f>SUM(E210)</f>
        <v>0</v>
      </c>
      <c r="F211" s="44">
        <f t="shared" si="56"/>
        <v>-751711.01</v>
      </c>
      <c r="G211" s="44"/>
      <c r="H211" s="45">
        <f t="shared" si="49"/>
        <v>0</v>
      </c>
      <c r="I211" s="46">
        <f>SUM(I210)</f>
        <v>22533.279999999999</v>
      </c>
      <c r="J211" s="44">
        <f t="shared" si="57"/>
        <v>-729177.73</v>
      </c>
      <c r="K211" s="44"/>
      <c r="L211" s="44">
        <f t="shared" si="51"/>
        <v>-3236.0035023751539</v>
      </c>
      <c r="M211" s="43">
        <f>SUM(M210)</f>
        <v>751711.01</v>
      </c>
      <c r="N211" s="44">
        <f>SUM(N210)</f>
        <v>0</v>
      </c>
      <c r="O211" s="44">
        <f t="shared" si="58"/>
        <v>-751711.01</v>
      </c>
      <c r="P211" s="44"/>
      <c r="Q211" s="44">
        <f t="shared" si="53"/>
        <v>0</v>
      </c>
      <c r="R211" s="46">
        <f>SUM(R210)</f>
        <v>22533.279999999999</v>
      </c>
      <c r="S211" s="44">
        <f t="shared" si="59"/>
        <v>-729177.73</v>
      </c>
      <c r="T211" s="47"/>
      <c r="U211" s="47">
        <f t="shared" si="55"/>
        <v>-3236.0035023751539</v>
      </c>
    </row>
    <row r="212" spans="1:22">
      <c r="A212" s="22"/>
      <c r="B212" s="48" t="s">
        <v>226</v>
      </c>
      <c r="C212" s="49"/>
      <c r="D212" s="50">
        <f>SUM(D204)-SUM(D211)</f>
        <v>406431.44999999995</v>
      </c>
      <c r="E212" s="51">
        <f>SUM(E204)-SUM(E211)</f>
        <v>1400000</v>
      </c>
      <c r="F212" s="51">
        <f>D212-E212</f>
        <v>-993568.55</v>
      </c>
      <c r="G212" s="51"/>
      <c r="H212" s="52">
        <f t="shared" si="49"/>
        <v>-70.969182142857136</v>
      </c>
      <c r="I212" s="53">
        <f>SUM(I204)-SUM(I211)</f>
        <v>2747527.3800000004</v>
      </c>
      <c r="J212" s="51">
        <f>D212-I212</f>
        <v>-2341095.9300000006</v>
      </c>
      <c r="K212" s="51"/>
      <c r="L212" s="51">
        <f t="shared" si="51"/>
        <v>-85.207373984385924</v>
      </c>
      <c r="M212" s="50">
        <f>SUM(M204)-SUM(M211)</f>
        <v>406431.44999999995</v>
      </c>
      <c r="N212" s="51">
        <f>SUM(N204)-SUM(N211)</f>
        <v>1400000</v>
      </c>
      <c r="O212" s="51">
        <f>M212-N212</f>
        <v>-993568.55</v>
      </c>
      <c r="P212" s="51"/>
      <c r="Q212" s="51">
        <f t="shared" si="53"/>
        <v>-70.969182142857136</v>
      </c>
      <c r="R212" s="53">
        <f>SUM(R204)-SUM(R211)</f>
        <v>2747527.3800000004</v>
      </c>
      <c r="S212" s="51">
        <f>M212-R212</f>
        <v>-2341095.9300000006</v>
      </c>
      <c r="T212" s="54"/>
      <c r="U212" s="54">
        <f t="shared" si="55"/>
        <v>-85.207373984385924</v>
      </c>
    </row>
    <row r="213" spans="1:22">
      <c r="A213" s="22"/>
      <c r="B213" s="27"/>
      <c r="C213" s="24"/>
      <c r="D213" s="58"/>
      <c r="E213" s="76"/>
      <c r="F213" s="59"/>
      <c r="G213" s="59"/>
      <c r="H213" s="60"/>
      <c r="I213" s="61"/>
      <c r="J213" s="59"/>
      <c r="K213" s="59"/>
      <c r="L213" s="59"/>
      <c r="M213" s="58"/>
      <c r="N213" s="76"/>
      <c r="O213" s="59"/>
      <c r="P213" s="59"/>
      <c r="Q213" s="59"/>
      <c r="R213" s="61"/>
      <c r="S213" s="59"/>
      <c r="T213" s="63"/>
      <c r="U213" s="63"/>
    </row>
    <row r="214" spans="1:22" ht="15.6">
      <c r="B214" s="77" t="s">
        <v>227</v>
      </c>
      <c r="C214" s="78"/>
      <c r="D214" s="79">
        <f ca="1">IFERROR(SUM(D196)+SUM(D212),0)</f>
        <v>3341778.5999999987</v>
      </c>
      <c r="E214" s="80">
        <f ca="1">IFERROR(SUM(E196)+SUM(E212),0)</f>
        <v>-29000.714537993073</v>
      </c>
      <c r="F214" s="80">
        <f ca="1">D214-E214</f>
        <v>3370779.3145379918</v>
      </c>
      <c r="G214" s="80"/>
      <c r="H214" s="81">
        <f ca="1">IF(E214=0,0,F214*100/E214)</f>
        <v>-11623.090562551562</v>
      </c>
      <c r="I214" s="82">
        <f ca="1">IFERROR(SUM(I196)+SUM(I212),0)</f>
        <v>4461327.4999999907</v>
      </c>
      <c r="J214" s="80">
        <f ca="1">D214-I214</f>
        <v>-1119548.899999992</v>
      </c>
      <c r="K214" s="80"/>
      <c r="L214" s="80">
        <f ca="1">IF(I214=0,0,J214*100/I214)</f>
        <v>-25.094523995380172</v>
      </c>
      <c r="M214" s="79">
        <f ca="1">IFERROR(SUM(M196)+SUM(M212),0)</f>
        <v>3341778.5999999987</v>
      </c>
      <c r="N214" s="80">
        <f ca="1">IFERROR(SUM(N196)+SUM(N212),0)</f>
        <v>-29000.714537993073</v>
      </c>
      <c r="O214" s="80">
        <f ca="1">M214-N214</f>
        <v>3370779.3145379918</v>
      </c>
      <c r="P214" s="80"/>
      <c r="Q214" s="80">
        <f ca="1">IF(N214=0,0,O214*100/N214)</f>
        <v>-11623.090562551562</v>
      </c>
      <c r="R214" s="82">
        <f ca="1">IFERROR(SUM(R196)+SUM(R212),0)</f>
        <v>4461327.4999999907</v>
      </c>
      <c r="S214" s="80">
        <f ca="1">M214-R214</f>
        <v>-1119548.899999992</v>
      </c>
      <c r="T214" s="83"/>
      <c r="U214" s="84">
        <f ca="1">IF(R214=0,0,S214*100/R214)</f>
        <v>-25.094523995380172</v>
      </c>
    </row>
    <row r="215" spans="1:22" ht="15.6">
      <c r="B215" s="85"/>
      <c r="C215" s="86"/>
      <c r="D215" s="87"/>
      <c r="E215" s="87"/>
      <c r="F215" s="87"/>
      <c r="G215" s="87"/>
      <c r="H215" s="88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</row>
    <row r="216" spans="1:22" hidden="1" outlineLevel="2">
      <c r="A216" s="22"/>
      <c r="B216" s="28">
        <v>8914</v>
      </c>
      <c r="C216" s="29" t="s">
        <v>228</v>
      </c>
      <c r="D216" s="30">
        <f>N(1667557.96)</f>
        <v>1667557.96</v>
      </c>
      <c r="E216" s="30">
        <f>N(0)</f>
        <v>0</v>
      </c>
      <c r="F216" s="30">
        <f>-D216+E216</f>
        <v>-1667557.96</v>
      </c>
      <c r="G216" s="30"/>
      <c r="H216" s="31">
        <f>IF(E216=0,0,F216*100/E216)</f>
        <v>0</v>
      </c>
      <c r="I216" s="32">
        <f>N(2269477.31)</f>
        <v>2269477.31</v>
      </c>
      <c r="J216" s="30">
        <f>-D216+I216</f>
        <v>601919.35000000009</v>
      </c>
      <c r="K216" s="30"/>
      <c r="L216" s="30">
        <f>IF(I216=0,0,J216*100/I216)</f>
        <v>26.522377965523702</v>
      </c>
      <c r="M216" s="30">
        <f>N(1667557.96)</f>
        <v>1667557.96</v>
      </c>
      <c r="N216" s="30">
        <f>N(0)</f>
        <v>0</v>
      </c>
      <c r="O216" s="30">
        <f>-M216+N216</f>
        <v>-1667557.96</v>
      </c>
      <c r="P216" s="30"/>
      <c r="Q216" s="30">
        <f>IF(N216=0,0,O216*100/N216)</f>
        <v>0</v>
      </c>
      <c r="R216" s="32">
        <f>N(2269477.31)</f>
        <v>2269477.31</v>
      </c>
      <c r="S216" s="30">
        <f>-M216+R216</f>
        <v>601919.35000000009</v>
      </c>
      <c r="T216" s="30"/>
      <c r="U216" s="75">
        <f>IF(R216=0,0,S216*100/R216)</f>
        <v>26.522377965523702</v>
      </c>
      <c r="V216" s="27"/>
    </row>
    <row r="217" spans="1:22" hidden="1" outlineLevel="2">
      <c r="A217" s="22"/>
      <c r="B217" s="28">
        <v>8960</v>
      </c>
      <c r="C217" s="29" t="s">
        <v>232</v>
      </c>
      <c r="D217" s="30">
        <f>N(1674220.63)</f>
        <v>1674220.63</v>
      </c>
      <c r="E217" s="30">
        <f>N(0)</f>
        <v>0</v>
      </c>
      <c r="F217" s="30">
        <f>-D217+E217</f>
        <v>-1674220.63</v>
      </c>
      <c r="G217" s="30"/>
      <c r="H217" s="31">
        <f>IF(E217=0,0,F217*100/E217)</f>
        <v>0</v>
      </c>
      <c r="I217" s="32">
        <f>N(2191850.19)</f>
        <v>2191850.19</v>
      </c>
      <c r="J217" s="30">
        <f>-D217+I217</f>
        <v>517629.56000000006</v>
      </c>
      <c r="K217" s="30"/>
      <c r="L217" s="30">
        <f>IF(I217=0,0,J217*100/I217)</f>
        <v>23.616101244583696</v>
      </c>
      <c r="M217" s="30">
        <f>N(1674220.63)</f>
        <v>1674220.63</v>
      </c>
      <c r="N217" s="30">
        <f>N(0)</f>
        <v>0</v>
      </c>
      <c r="O217" s="30">
        <f>-M217+N217</f>
        <v>-1674220.63</v>
      </c>
      <c r="P217" s="30"/>
      <c r="Q217" s="30">
        <f>IF(N217=0,0,O217*100/N217)</f>
        <v>0</v>
      </c>
      <c r="R217" s="32">
        <f>N(2191850.19)</f>
        <v>2191850.19</v>
      </c>
      <c r="S217" s="30">
        <f>-M217+R217</f>
        <v>517629.56000000006</v>
      </c>
      <c r="T217" s="30"/>
      <c r="U217" s="75">
        <f>IF(R217=0,0,S217*100/R217)</f>
        <v>23.616101244583696</v>
      </c>
      <c r="V217" s="27"/>
    </row>
    <row r="218" spans="1:22" hidden="1" outlineLevel="1" collapsed="1">
      <c r="A218" s="22"/>
      <c r="B218" s="35" t="str">
        <f>"    "&amp;"Overføringer og disponeringer"</f>
        <v xml:space="preserve">    Overføringer og disponeringer</v>
      </c>
      <c r="C218" s="36"/>
      <c r="D218" s="37">
        <f>SUM(D216:D217)</f>
        <v>3341778.59</v>
      </c>
      <c r="E218" s="33">
        <f>SUM(E216:E217)</f>
        <v>0</v>
      </c>
      <c r="F218" s="33">
        <f>-D218+E218</f>
        <v>-3341778.59</v>
      </c>
      <c r="G218" s="33"/>
      <c r="H218" s="38">
        <f>IF(E218=0,0,F218*100/E218)</f>
        <v>0</v>
      </c>
      <c r="I218" s="39">
        <f>SUM(I216:I217)</f>
        <v>4461327.5</v>
      </c>
      <c r="J218" s="33">
        <f>-D218+I218</f>
        <v>1119548.9100000001</v>
      </c>
      <c r="K218" s="33"/>
      <c r="L218" s="33">
        <f>IF(I218=0,0,J218*100/I218)</f>
        <v>25.094524219528832</v>
      </c>
      <c r="M218" s="37">
        <f>SUM(M216:M217)</f>
        <v>3341778.59</v>
      </c>
      <c r="N218" s="33">
        <f>SUM(N216:N217)</f>
        <v>0</v>
      </c>
      <c r="O218" s="33">
        <f>-M218+N218</f>
        <v>-3341778.59</v>
      </c>
      <c r="P218" s="33"/>
      <c r="Q218" s="33">
        <f>IF(N218=0,0,O218*100/N218)</f>
        <v>0</v>
      </c>
      <c r="R218" s="39">
        <f>SUM(R216:R217)</f>
        <v>4461327.5</v>
      </c>
      <c r="S218" s="33">
        <f>-M218+R218</f>
        <v>1119548.9100000001</v>
      </c>
      <c r="T218" s="33"/>
      <c r="U218" s="34">
        <f>IF(R218=0,0,S218*100/R218)</f>
        <v>25.094524219528832</v>
      </c>
      <c r="V218" s="27"/>
    </row>
    <row r="219" spans="1:22" collapsed="1">
      <c r="A219" s="22"/>
      <c r="B219" s="89" t="s">
        <v>233</v>
      </c>
      <c r="C219" s="90"/>
      <c r="D219" s="91">
        <f>SUM(D218)</f>
        <v>3341778.59</v>
      </c>
      <c r="E219" s="92">
        <f>SUM(E218)</f>
        <v>0</v>
      </c>
      <c r="F219" s="92">
        <f>-D219+E219</f>
        <v>-3341778.59</v>
      </c>
      <c r="G219" s="92"/>
      <c r="H219" s="93">
        <f>IF(E219=0,0,F219*100/E219)</f>
        <v>0</v>
      </c>
      <c r="I219" s="94">
        <f>SUM(I218)</f>
        <v>4461327.5</v>
      </c>
      <c r="J219" s="92">
        <f>-D219+I219</f>
        <v>1119548.9100000001</v>
      </c>
      <c r="K219" s="92"/>
      <c r="L219" s="92">
        <f>IF(I219=0,0,J219*100/I219)</f>
        <v>25.094524219528832</v>
      </c>
      <c r="M219" s="91">
        <f>SUM(M218)</f>
        <v>3341778.59</v>
      </c>
      <c r="N219" s="92">
        <f>SUM(N218)</f>
        <v>0</v>
      </c>
      <c r="O219" s="92">
        <f>-M219+N219</f>
        <v>-3341778.59</v>
      </c>
      <c r="P219" s="92"/>
      <c r="Q219" s="92">
        <f>IF(N219=0,0,O219*100/N219)</f>
        <v>0</v>
      </c>
      <c r="R219" s="94">
        <f>SUM(R218)</f>
        <v>4461327.5</v>
      </c>
      <c r="S219" s="92">
        <f>-M219+R219</f>
        <v>1119548.9100000001</v>
      </c>
      <c r="T219" s="92"/>
      <c r="U219" s="95">
        <f>IF(R219=0,0,S219*100/R219)</f>
        <v>25.094524219528832</v>
      </c>
      <c r="V219" s="27"/>
    </row>
    <row r="220" spans="1:22">
      <c r="R220" s="96"/>
    </row>
    <row r="221" spans="1:22">
      <c r="C221" s="97"/>
      <c r="R221" s="6"/>
    </row>
  </sheetData>
  <mergeCells count="2">
    <mergeCell ref="D9:L9"/>
    <mergeCell ref="M9:U9"/>
  </mergeCells>
  <conditionalFormatting sqref="B5:B7 D5:D7">
    <cfRule type="expression" dxfId="8" priority="1">
      <formula>LEFT(B5,1)="x"</formula>
    </cfRule>
  </conditionalFormatting>
  <conditionalFormatting sqref="C5:C7 E5:E7">
    <cfRule type="expression" dxfId="7" priority="2">
      <formula>LEFT(B5,1)="x"</formula>
    </cfRule>
  </conditionalFormatting>
  <pageMargins left="0.23622047244094491" right="0.23622047244094491" top="0.35433070866141736" bottom="0.35433070866141736" header="0.31496062992125984" footer="0.31496062992125984"/>
  <pageSetup paperSize="9" scale="72" fitToHeight="0" orientation="landscape"/>
  <headerFooter>
    <oddFooter>&amp;C&amp;G&amp;R
Side &amp;P av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ACE38-EE57-4C0C-AD37-6F841A797CEC}">
  <sheetPr>
    <pageSetUpPr fitToPage="1"/>
  </sheetPr>
  <dimension ref="A1:V218"/>
  <sheetViews>
    <sheetView showGridLines="0" workbookViewId="0">
      <pane ySplit="10" topLeftCell="A11" activePane="bottomLeft" state="frozen"/>
      <selection pane="bottomLeft" activeCell="D22" sqref="D22"/>
    </sheetView>
  </sheetViews>
  <sheetFormatPr defaultColWidth="11.42578125" defaultRowHeight="14.45" outlineLevelRow="2" outlineLevelCol="1"/>
  <cols>
    <col min="1" max="1" width="1.7109375" customWidth="1"/>
    <col min="2" max="2" width="16" customWidth="1"/>
    <col min="3" max="3" width="32.7109375" customWidth="1"/>
    <col min="4" max="5" width="12.7109375" customWidth="1"/>
    <col min="6" max="6" width="12.7109375" hidden="1" customWidth="1" outlineLevel="1"/>
    <col min="7" max="7" width="2.140625" customWidth="1" collapsed="1"/>
    <col min="8" max="8" width="8.85546875" hidden="1" customWidth="1" outlineLevel="1"/>
    <col min="9" max="9" width="12.7109375" customWidth="1" collapsed="1"/>
    <col min="10" max="10" width="12.7109375" hidden="1" customWidth="1" outlineLevel="1"/>
    <col min="11" max="11" width="2.5703125" customWidth="1" collapsed="1"/>
    <col min="12" max="12" width="10" hidden="1" customWidth="1" outlineLevel="1"/>
    <col min="13" max="13" width="12.7109375" customWidth="1" collapsed="1"/>
    <col min="14" max="14" width="12.7109375" customWidth="1"/>
    <col min="15" max="15" width="12.7109375" hidden="1" customWidth="1" outlineLevel="1"/>
    <col min="16" max="16" width="3.42578125" customWidth="1" collapsed="1"/>
    <col min="17" max="17" width="6.7109375" hidden="1" customWidth="1" outlineLevel="1"/>
    <col min="18" max="18" width="12.7109375" customWidth="1" collapsed="1"/>
    <col min="19" max="19" width="12.7109375" hidden="1" customWidth="1" outlineLevel="1"/>
    <col min="20" max="20" width="2.85546875" customWidth="1" collapsed="1"/>
    <col min="21" max="21" width="8.5703125" hidden="1" customWidth="1" outlineLevel="1"/>
    <col min="22" max="22" width="11.42578125" collapsed="1"/>
  </cols>
  <sheetData>
    <row r="1" spans="1:21" ht="9.9499999999999993" customHeigh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6" t="s">
        <v>314</v>
      </c>
    </row>
    <row r="2" spans="1:21" ht="18">
      <c r="A2" s="7"/>
      <c r="B2" s="8" t="s">
        <v>315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9">
        <v>45322.596296296295</v>
      </c>
    </row>
    <row r="3" spans="1:21" ht="15.75" customHeight="1">
      <c r="A3" s="7"/>
      <c r="B3" s="10" t="s">
        <v>316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11"/>
    </row>
    <row r="4" spans="1:21" ht="11.25" hidden="1" customHeight="1" outlineLevel="1">
      <c r="A4" s="7"/>
      <c r="B4" s="8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11"/>
    </row>
    <row r="5" spans="1:21" ht="11.25" hidden="1" customHeight="1" outlineLevel="1">
      <c r="A5" s="12"/>
      <c r="B5" s="12" t="s">
        <v>317</v>
      </c>
      <c r="C5" s="13" t="str">
        <f>IF("*,NULL"="*,NULL","Alle","*,NULL")</f>
        <v>Alle</v>
      </c>
      <c r="D5" s="12" t="s">
        <v>318</v>
      </c>
      <c r="E5" s="13" t="str">
        <f>IF("*,NULL"="*,NULL","Alle","*,NULL")</f>
        <v>Alle</v>
      </c>
    </row>
    <row r="6" spans="1:21" ht="11.25" hidden="1" customHeight="1" outlineLevel="1">
      <c r="A6" s="12"/>
      <c r="B6" s="12" t="s">
        <v>319</v>
      </c>
      <c r="C6" s="13" t="str">
        <f>IF("*,NULL"="*,NULL","Alle","*,NULL")</f>
        <v>Alle</v>
      </c>
      <c r="D6" s="12" t="s">
        <v>320</v>
      </c>
      <c r="E6" s="13" t="str">
        <f>IF("*,NULL"="*,NULL","Alle","*,NULL")</f>
        <v>Alle</v>
      </c>
    </row>
    <row r="7" spans="1:21" ht="11.25" hidden="1" customHeight="1" outlineLevel="1">
      <c r="A7" s="12"/>
      <c r="B7" s="12" t="s">
        <v>321</v>
      </c>
      <c r="C7" s="13" t="str">
        <f>IF("*,NULL"="*,NULL","Alle","*,NULL")</f>
        <v>Alle</v>
      </c>
      <c r="D7" s="12" t="s">
        <v>322</v>
      </c>
      <c r="E7" s="13" t="str">
        <f>IF("*,NULL"="*,NULL","Alle","*,NULL")</f>
        <v>Alle</v>
      </c>
    </row>
    <row r="8" spans="1:21" ht="11.25" customHeight="1" collapsed="1">
      <c r="D8" s="6"/>
      <c r="E8" s="6"/>
    </row>
    <row r="9" spans="1:21">
      <c r="B9" s="14" t="str">
        <f>"Periode: "&amp;"202201"&amp;"-"&amp;"202212"</f>
        <v>Periode: 202201-202212</v>
      </c>
      <c r="C9" s="15"/>
      <c r="D9" s="183" t="s">
        <v>323</v>
      </c>
      <c r="E9" s="184"/>
      <c r="F9" s="184"/>
      <c r="G9" s="184"/>
      <c r="H9" s="184"/>
      <c r="I9" s="184"/>
      <c r="J9" s="184"/>
      <c r="K9" s="184"/>
      <c r="L9" s="184"/>
      <c r="M9" s="183" t="s">
        <v>324</v>
      </c>
      <c r="N9" s="184"/>
      <c r="O9" s="184"/>
      <c r="P9" s="184"/>
      <c r="Q9" s="184"/>
      <c r="R9" s="184"/>
      <c r="S9" s="184"/>
      <c r="T9" s="184"/>
      <c r="U9" s="185"/>
    </row>
    <row r="10" spans="1:21" ht="15" customHeight="1">
      <c r="B10" s="17"/>
      <c r="C10" s="18"/>
      <c r="D10" s="19" t="s">
        <v>325</v>
      </c>
      <c r="E10" s="20" t="s">
        <v>53</v>
      </c>
      <c r="F10" s="20" t="s">
        <v>326</v>
      </c>
      <c r="G10" s="20"/>
      <c r="H10" s="20" t="s">
        <v>327</v>
      </c>
      <c r="I10" s="20" t="s">
        <v>328</v>
      </c>
      <c r="J10" s="20" t="s">
        <v>326</v>
      </c>
      <c r="K10" s="20"/>
      <c r="L10" s="20" t="s">
        <v>329</v>
      </c>
      <c r="M10" s="21" t="s">
        <v>325</v>
      </c>
      <c r="N10" s="20" t="s">
        <v>53</v>
      </c>
      <c r="O10" s="20" t="s">
        <v>326</v>
      </c>
      <c r="P10" s="20"/>
      <c r="Q10" s="20" t="s">
        <v>327</v>
      </c>
      <c r="R10" s="20" t="s">
        <v>328</v>
      </c>
      <c r="S10" s="20" t="s">
        <v>326</v>
      </c>
      <c r="T10" s="18"/>
      <c r="U10" s="18" t="s">
        <v>329</v>
      </c>
    </row>
    <row r="11" spans="1:21" ht="9" customHeight="1">
      <c r="A11" s="22"/>
      <c r="B11" s="23"/>
      <c r="C11" s="24"/>
      <c r="D11" s="25"/>
      <c r="E11" s="26"/>
      <c r="F11" s="26"/>
      <c r="G11" s="26"/>
      <c r="H11" s="26"/>
      <c r="I11" s="26"/>
      <c r="J11" s="26"/>
      <c r="K11" s="26"/>
      <c r="L11" s="26"/>
      <c r="M11" s="27"/>
      <c r="T11" s="24"/>
      <c r="U11" s="24"/>
    </row>
    <row r="12" spans="1:21" hidden="1" outlineLevel="2">
      <c r="A12" s="22"/>
      <c r="B12" s="28">
        <v>3100</v>
      </c>
      <c r="C12" s="29" t="s">
        <v>54</v>
      </c>
      <c r="D12" s="5">
        <f>-N(-23653.25)</f>
        <v>23653.25</v>
      </c>
      <c r="E12" s="30">
        <f>-N(-100000)</f>
        <v>100000</v>
      </c>
      <c r="F12" s="30">
        <f t="shared" ref="F12:F20" si="0">D12-E12</f>
        <v>-76346.75</v>
      </c>
      <c r="G12" s="30"/>
      <c r="H12" s="31">
        <f t="shared" ref="H12:H20" si="1">IF(E12=0,0,F12*100/E12)</f>
        <v>-76.34675</v>
      </c>
      <c r="I12" s="32">
        <f>-N(0)</f>
        <v>0</v>
      </c>
      <c r="J12" s="30">
        <f t="shared" ref="J12:J20" si="2">D12-I12</f>
        <v>23653.25</v>
      </c>
      <c r="K12" s="30"/>
      <c r="L12" s="30">
        <f t="shared" ref="L12:L20" si="3">IF(I12=0,0,J12*100/I12)</f>
        <v>0</v>
      </c>
      <c r="M12" s="5">
        <f>-N(-23653.25)</f>
        <v>23653.25</v>
      </c>
      <c r="N12" s="30">
        <f>-N(-100000)</f>
        <v>100000</v>
      </c>
      <c r="O12" s="30">
        <f t="shared" ref="O12:O20" si="4">M12-N12</f>
        <v>-76346.75</v>
      </c>
      <c r="P12" s="30"/>
      <c r="Q12" s="30">
        <f t="shared" ref="Q12:Q20" si="5">IF(N12=0,0,O12*100/N12)</f>
        <v>-76.34675</v>
      </c>
      <c r="R12" s="32">
        <f>-N(0)</f>
        <v>0</v>
      </c>
      <c r="S12" s="33">
        <f t="shared" ref="S12:S20" si="6">M12-R12</f>
        <v>23653.25</v>
      </c>
      <c r="T12" s="34"/>
      <c r="U12" s="34">
        <f t="shared" ref="U12:U20" si="7">IF(R12=0,0,S12*100/R12)</f>
        <v>0</v>
      </c>
    </row>
    <row r="13" spans="1:21" hidden="1" outlineLevel="2">
      <c r="A13" s="22"/>
      <c r="B13" s="28">
        <v>3110</v>
      </c>
      <c r="C13" s="29" t="s">
        <v>55</v>
      </c>
      <c r="D13" s="5">
        <f>-N(-11033.6)</f>
        <v>11033.6</v>
      </c>
      <c r="E13" s="30">
        <f>-N(0)</f>
        <v>0</v>
      </c>
      <c r="F13" s="30">
        <f t="shared" si="0"/>
        <v>11033.6</v>
      </c>
      <c r="G13" s="30"/>
      <c r="H13" s="31">
        <f t="shared" si="1"/>
        <v>0</v>
      </c>
      <c r="I13" s="32">
        <f>-N(-2000)</f>
        <v>2000</v>
      </c>
      <c r="J13" s="30">
        <f t="shared" si="2"/>
        <v>9033.6</v>
      </c>
      <c r="K13" s="30"/>
      <c r="L13" s="30">
        <f t="shared" si="3"/>
        <v>451.68</v>
      </c>
      <c r="M13" s="5">
        <f>-N(-11033.6)</f>
        <v>11033.6</v>
      </c>
      <c r="N13" s="30">
        <f>-N(0)</f>
        <v>0</v>
      </c>
      <c r="O13" s="30">
        <f t="shared" si="4"/>
        <v>11033.6</v>
      </c>
      <c r="P13" s="30"/>
      <c r="Q13" s="30">
        <f t="shared" si="5"/>
        <v>0</v>
      </c>
      <c r="R13" s="32">
        <f>-N(-2000)</f>
        <v>2000</v>
      </c>
      <c r="S13" s="33">
        <f t="shared" si="6"/>
        <v>9033.6</v>
      </c>
      <c r="T13" s="34"/>
      <c r="U13" s="34">
        <f t="shared" si="7"/>
        <v>451.68</v>
      </c>
    </row>
    <row r="14" spans="1:21" hidden="1" outlineLevel="2">
      <c r="A14" s="22"/>
      <c r="B14" s="28">
        <v>3700</v>
      </c>
      <c r="C14" s="29" t="s">
        <v>56</v>
      </c>
      <c r="D14" s="5">
        <f>-N(-562.5)</f>
        <v>562.5</v>
      </c>
      <c r="E14" s="30">
        <f>-N(0)</f>
        <v>0</v>
      </c>
      <c r="F14" s="30">
        <f t="shared" si="0"/>
        <v>562.5</v>
      </c>
      <c r="G14" s="30"/>
      <c r="H14" s="31">
        <f t="shared" si="1"/>
        <v>0</v>
      </c>
      <c r="I14" s="32">
        <f>-N(-382.5)</f>
        <v>382.5</v>
      </c>
      <c r="J14" s="30">
        <f t="shared" si="2"/>
        <v>180</v>
      </c>
      <c r="K14" s="30"/>
      <c r="L14" s="30">
        <f t="shared" si="3"/>
        <v>47.058823529411768</v>
      </c>
      <c r="M14" s="5">
        <f>-N(-562.5)</f>
        <v>562.5</v>
      </c>
      <c r="N14" s="30">
        <f>-N(0)</f>
        <v>0</v>
      </c>
      <c r="O14" s="30">
        <f t="shared" si="4"/>
        <v>562.5</v>
      </c>
      <c r="P14" s="30"/>
      <c r="Q14" s="30">
        <f t="shared" si="5"/>
        <v>0</v>
      </c>
      <c r="R14" s="32">
        <f>-N(-382.5)</f>
        <v>382.5</v>
      </c>
      <c r="S14" s="33">
        <f t="shared" si="6"/>
        <v>180</v>
      </c>
      <c r="T14" s="34"/>
      <c r="U14" s="34">
        <f t="shared" si="7"/>
        <v>47.058823529411768</v>
      </c>
    </row>
    <row r="15" spans="1:21" hidden="1" outlineLevel="1">
      <c r="A15" s="22"/>
      <c r="B15" s="35" t="str">
        <f>"    "&amp;"Salgsinntekt, avgiftspliktig"</f>
        <v xml:space="preserve">    Salgsinntekt, avgiftspliktig</v>
      </c>
      <c r="C15" s="36"/>
      <c r="D15" s="37">
        <f>SUM(D12:D14)</f>
        <v>35249.35</v>
      </c>
      <c r="E15" s="33">
        <f>SUM(E12:E14)</f>
        <v>100000</v>
      </c>
      <c r="F15" s="33">
        <f t="shared" si="0"/>
        <v>-64750.65</v>
      </c>
      <c r="G15" s="33"/>
      <c r="H15" s="38">
        <f t="shared" si="1"/>
        <v>-64.750649999999993</v>
      </c>
      <c r="I15" s="39">
        <f>SUM(I12:I14)</f>
        <v>2382.5</v>
      </c>
      <c r="J15" s="33">
        <f t="shared" si="2"/>
        <v>32866.85</v>
      </c>
      <c r="K15" s="33"/>
      <c r="L15" s="40">
        <f t="shared" si="3"/>
        <v>1379.511017838405</v>
      </c>
      <c r="M15" s="37">
        <f>SUM(M12:M14)</f>
        <v>35249.35</v>
      </c>
      <c r="N15" s="33">
        <f>SUM(N12:N14)</f>
        <v>100000</v>
      </c>
      <c r="O15" s="33">
        <f t="shared" si="4"/>
        <v>-64750.65</v>
      </c>
      <c r="P15" s="33"/>
      <c r="Q15" s="33">
        <f t="shared" si="5"/>
        <v>-64.750649999999993</v>
      </c>
      <c r="R15" s="39">
        <f>SUM(R12:R14)</f>
        <v>2382.5</v>
      </c>
      <c r="S15" s="33">
        <f t="shared" si="6"/>
        <v>32866.85</v>
      </c>
      <c r="T15" s="34"/>
      <c r="U15" s="34">
        <f t="shared" si="7"/>
        <v>1379.511017838405</v>
      </c>
    </row>
    <row r="16" spans="1:21" hidden="1" outlineLevel="2">
      <c r="A16" s="22"/>
      <c r="B16" s="28">
        <v>3200</v>
      </c>
      <c r="C16" s="29" t="s">
        <v>58</v>
      </c>
      <c r="D16" s="5">
        <f>-N(-1939984)</f>
        <v>1939984</v>
      </c>
      <c r="E16" s="30">
        <f>-N(-3465000)</f>
        <v>3465000</v>
      </c>
      <c r="F16" s="30">
        <f t="shared" si="0"/>
        <v>-1525016</v>
      </c>
      <c r="G16" s="30"/>
      <c r="H16" s="31">
        <f t="shared" si="1"/>
        <v>-44.012005772005772</v>
      </c>
      <c r="I16" s="32">
        <f>-N(-384750)</f>
        <v>384750</v>
      </c>
      <c r="J16" s="30">
        <f t="shared" si="2"/>
        <v>1555234</v>
      </c>
      <c r="K16" s="30"/>
      <c r="L16" s="30">
        <f t="shared" si="3"/>
        <v>404.219363222872</v>
      </c>
      <c r="M16" s="5">
        <f>-N(-1939984)</f>
        <v>1939984</v>
      </c>
      <c r="N16" s="30">
        <f>-N(-3465000)</f>
        <v>3465000</v>
      </c>
      <c r="O16" s="30">
        <f t="shared" si="4"/>
        <v>-1525016</v>
      </c>
      <c r="P16" s="30"/>
      <c r="Q16" s="30">
        <f t="shared" si="5"/>
        <v>-44.012005772005772</v>
      </c>
      <c r="R16" s="32">
        <f>-N(-384750)</f>
        <v>384750</v>
      </c>
      <c r="S16" s="33">
        <f t="shared" si="6"/>
        <v>1555234</v>
      </c>
      <c r="T16" s="34"/>
      <c r="U16" s="34">
        <f t="shared" si="7"/>
        <v>404.219363222872</v>
      </c>
    </row>
    <row r="17" spans="1:21" hidden="1" outlineLevel="2">
      <c r="A17" s="22"/>
      <c r="B17" s="28">
        <v>3201</v>
      </c>
      <c r="C17" s="29" t="s">
        <v>59</v>
      </c>
      <c r="D17" s="5">
        <f>-N(0)</f>
        <v>0</v>
      </c>
      <c r="E17" s="30">
        <f>-N(0)</f>
        <v>0</v>
      </c>
      <c r="F17" s="30">
        <f t="shared" si="0"/>
        <v>0</v>
      </c>
      <c r="G17" s="30"/>
      <c r="H17" s="31">
        <f t="shared" si="1"/>
        <v>0</v>
      </c>
      <c r="I17" s="32">
        <f>-N(-76400.18)</f>
        <v>76400.179999999993</v>
      </c>
      <c r="J17" s="30">
        <f t="shared" si="2"/>
        <v>-76400.179999999993</v>
      </c>
      <c r="K17" s="30"/>
      <c r="L17" s="30">
        <f t="shared" si="3"/>
        <v>-100</v>
      </c>
      <c r="M17" s="5">
        <f>-N(0)</f>
        <v>0</v>
      </c>
      <c r="N17" s="30">
        <f>-N(0)</f>
        <v>0</v>
      </c>
      <c r="O17" s="30">
        <f t="shared" si="4"/>
        <v>0</v>
      </c>
      <c r="P17" s="30"/>
      <c r="Q17" s="30">
        <f t="shared" si="5"/>
        <v>0</v>
      </c>
      <c r="R17" s="32">
        <f>-N(-76400.18)</f>
        <v>76400.179999999993</v>
      </c>
      <c r="S17" s="33">
        <f t="shared" si="6"/>
        <v>-76400.179999999993</v>
      </c>
      <c r="T17" s="34"/>
      <c r="U17" s="34">
        <f t="shared" si="7"/>
        <v>-100</v>
      </c>
    </row>
    <row r="18" spans="1:21" hidden="1" outlineLevel="2">
      <c r="A18" s="22"/>
      <c r="B18" s="28">
        <v>3205</v>
      </c>
      <c r="C18" s="29" t="s">
        <v>61</v>
      </c>
      <c r="D18" s="5">
        <f>-N(-212330)</f>
        <v>212330</v>
      </c>
      <c r="E18" s="30">
        <f>-N(-135000)</f>
        <v>135000</v>
      </c>
      <c r="F18" s="30">
        <f t="shared" si="0"/>
        <v>77330</v>
      </c>
      <c r="G18" s="30"/>
      <c r="H18" s="31">
        <f t="shared" si="1"/>
        <v>57.281481481481478</v>
      </c>
      <c r="I18" s="32">
        <f>-N(-59108.1)</f>
        <v>59108.1</v>
      </c>
      <c r="J18" s="30">
        <f t="shared" si="2"/>
        <v>153221.9</v>
      </c>
      <c r="K18" s="30"/>
      <c r="L18" s="30">
        <f t="shared" si="3"/>
        <v>259.22318599312109</v>
      </c>
      <c r="M18" s="5">
        <f>-N(-212330)</f>
        <v>212330</v>
      </c>
      <c r="N18" s="30">
        <f>-N(-135000)</f>
        <v>135000</v>
      </c>
      <c r="O18" s="30">
        <f t="shared" si="4"/>
        <v>77330</v>
      </c>
      <c r="P18" s="30"/>
      <c r="Q18" s="30">
        <f t="shared" si="5"/>
        <v>57.281481481481478</v>
      </c>
      <c r="R18" s="32">
        <f>-N(-59108.1)</f>
        <v>59108.1</v>
      </c>
      <c r="S18" s="33">
        <f t="shared" si="6"/>
        <v>153221.9</v>
      </c>
      <c r="T18" s="34"/>
      <c r="U18" s="34">
        <f t="shared" si="7"/>
        <v>259.22318599312109</v>
      </c>
    </row>
    <row r="19" spans="1:21" hidden="1" outlineLevel="2">
      <c r="A19" s="22"/>
      <c r="B19" s="28">
        <v>3226</v>
      </c>
      <c r="C19" s="29" t="s">
        <v>62</v>
      </c>
      <c r="D19" s="5">
        <f>-N(-100000)</f>
        <v>100000</v>
      </c>
      <c r="E19" s="30">
        <f>-N(-10000)</f>
        <v>10000</v>
      </c>
      <c r="F19" s="30">
        <f t="shared" si="0"/>
        <v>90000</v>
      </c>
      <c r="G19" s="30"/>
      <c r="H19" s="31">
        <f t="shared" si="1"/>
        <v>900</v>
      </c>
      <c r="I19" s="32">
        <f>-N(0)</f>
        <v>0</v>
      </c>
      <c r="J19" s="30">
        <f t="shared" si="2"/>
        <v>100000</v>
      </c>
      <c r="K19" s="30"/>
      <c r="L19" s="30">
        <f t="shared" si="3"/>
        <v>0</v>
      </c>
      <c r="M19" s="5">
        <f>-N(-100000)</f>
        <v>100000</v>
      </c>
      <c r="N19" s="30">
        <f>-N(-10000)</f>
        <v>10000</v>
      </c>
      <c r="O19" s="30">
        <f t="shared" si="4"/>
        <v>90000</v>
      </c>
      <c r="P19" s="30"/>
      <c r="Q19" s="30">
        <f t="shared" si="5"/>
        <v>900</v>
      </c>
      <c r="R19" s="32">
        <f>-N(0)</f>
        <v>0</v>
      </c>
      <c r="S19" s="33">
        <f t="shared" si="6"/>
        <v>100000</v>
      </c>
      <c r="T19" s="34"/>
      <c r="U19" s="34">
        <f t="shared" si="7"/>
        <v>0</v>
      </c>
    </row>
    <row r="20" spans="1:21" hidden="1" outlineLevel="2">
      <c r="A20" s="22"/>
      <c r="B20" s="28">
        <v>3415</v>
      </c>
      <c r="C20" s="29" t="s">
        <v>65</v>
      </c>
      <c r="D20" s="5">
        <f>-N(0)</f>
        <v>0</v>
      </c>
      <c r="E20" s="30">
        <f>-N(0)</f>
        <v>0</v>
      </c>
      <c r="F20" s="30">
        <f t="shared" si="0"/>
        <v>0</v>
      </c>
      <c r="G20" s="30"/>
      <c r="H20" s="31">
        <f t="shared" si="1"/>
        <v>0</v>
      </c>
      <c r="I20" s="32">
        <f>-N(-237595)</f>
        <v>237595</v>
      </c>
      <c r="J20" s="30">
        <f t="shared" si="2"/>
        <v>-237595</v>
      </c>
      <c r="K20" s="30"/>
      <c r="L20" s="30">
        <f t="shared" si="3"/>
        <v>-100</v>
      </c>
      <c r="M20" s="5">
        <f>-N(0)</f>
        <v>0</v>
      </c>
      <c r="N20" s="30">
        <f>-N(0)</f>
        <v>0</v>
      </c>
      <c r="O20" s="30">
        <f t="shared" si="4"/>
        <v>0</v>
      </c>
      <c r="P20" s="30"/>
      <c r="Q20" s="30">
        <f t="shared" si="5"/>
        <v>0</v>
      </c>
      <c r="R20" s="32">
        <f>-N(-237595)</f>
        <v>237595</v>
      </c>
      <c r="S20" s="33">
        <f t="shared" si="6"/>
        <v>-237595</v>
      </c>
      <c r="T20" s="34"/>
      <c r="U20" s="34">
        <f t="shared" si="7"/>
        <v>-100</v>
      </c>
    </row>
    <row r="21" spans="1:21" hidden="1" outlineLevel="1">
      <c r="A21" s="22"/>
      <c r="B21" s="35" t="str">
        <f>"    "&amp;"Arrangement"</f>
        <v xml:space="preserve">    Arrangement</v>
      </c>
      <c r="C21" s="36"/>
      <c r="D21" s="37">
        <f>SUM(D16:D20)</f>
        <v>2252314</v>
      </c>
      <c r="E21" s="33">
        <f>SUM(E16:E20)</f>
        <v>3610000</v>
      </c>
      <c r="F21" s="33">
        <f>D21-E21</f>
        <v>-1357686</v>
      </c>
      <c r="G21" s="33"/>
      <c r="H21" s="38">
        <f>IF(E21=0,0,F21*100/E21)</f>
        <v>-37.609030470914128</v>
      </c>
      <c r="I21" s="39">
        <f>SUM(I16:I20)</f>
        <v>757853.28</v>
      </c>
      <c r="J21" s="33">
        <f>D21-I21</f>
        <v>1494460.72</v>
      </c>
      <c r="K21" s="33"/>
      <c r="L21" s="40">
        <f>IF(I21=0,0,J21*100/I21)</f>
        <v>197.19657609715696</v>
      </c>
      <c r="M21" s="37">
        <f>SUM(M16:M20)</f>
        <v>2252314</v>
      </c>
      <c r="N21" s="33">
        <f>SUM(N16:N20)</f>
        <v>3610000</v>
      </c>
      <c r="O21" s="33">
        <f>M21-N21</f>
        <v>-1357686</v>
      </c>
      <c r="P21" s="33"/>
      <c r="Q21" s="33">
        <f>IF(N21=0,0,O21*100/N21)</f>
        <v>-37.609030470914128</v>
      </c>
      <c r="R21" s="39">
        <f>SUM(R16:R20)</f>
        <v>757853.28</v>
      </c>
      <c r="S21" s="33">
        <f>M21-R21</f>
        <v>1494460.72</v>
      </c>
      <c r="T21" s="34"/>
      <c r="U21" s="34">
        <f>IF(R21=0,0,S21*100/R21)</f>
        <v>197.19657609715696</v>
      </c>
    </row>
    <row r="22" spans="1:21" collapsed="1">
      <c r="A22" s="22"/>
      <c r="B22" s="41" t="s">
        <v>9</v>
      </c>
      <c r="C22" s="42"/>
      <c r="D22" s="43">
        <f>SUM(D15,D21)</f>
        <v>2287563.35</v>
      </c>
      <c r="E22" s="44">
        <f>SUM(E15,E21)</f>
        <v>3710000</v>
      </c>
      <c r="F22" s="44">
        <f t="shared" ref="F22:F44" si="8">D22-E22</f>
        <v>-1422436.65</v>
      </c>
      <c r="G22" s="44"/>
      <c r="H22" s="45">
        <f t="shared" ref="H22:H44" si="9">IF(E22=0,0,F22*100/E22)</f>
        <v>-38.340610512129381</v>
      </c>
      <c r="I22" s="46">
        <f>SUM(I15,I21)</f>
        <v>760235.78</v>
      </c>
      <c r="J22" s="44">
        <f t="shared" ref="J22:J44" si="10">D22-I22</f>
        <v>1527327.57</v>
      </c>
      <c r="K22" s="44"/>
      <c r="L22" s="44">
        <f t="shared" ref="L22:L44" si="11">IF(I22=0,0,J22*100/I22)</f>
        <v>200.9018267990491</v>
      </c>
      <c r="M22" s="43">
        <f>SUM(M15,M21)</f>
        <v>2287563.35</v>
      </c>
      <c r="N22" s="44">
        <f>SUM(N15,N21)</f>
        <v>3710000</v>
      </c>
      <c r="O22" s="44">
        <f t="shared" ref="O22:O44" si="12">M22-N22</f>
        <v>-1422436.65</v>
      </c>
      <c r="P22" s="44"/>
      <c r="Q22" s="44">
        <f t="shared" ref="Q22:Q44" si="13">IF(N22=0,0,O22*100/N22)</f>
        <v>-38.340610512129381</v>
      </c>
      <c r="R22" s="46">
        <f>SUM(R15,R21)</f>
        <v>760235.78</v>
      </c>
      <c r="S22" s="44">
        <f t="shared" ref="S22:S44" si="14">M22-R22</f>
        <v>1527327.57</v>
      </c>
      <c r="T22" s="47"/>
      <c r="U22" s="47">
        <f t="shared" ref="U22:U44" si="15">IF(R22=0,0,S22*100/R22)</f>
        <v>200.9018267990491</v>
      </c>
    </row>
    <row r="23" spans="1:21" hidden="1" outlineLevel="2">
      <c r="A23" s="22"/>
      <c r="B23" s="28">
        <v>3216</v>
      </c>
      <c r="C23" s="29" t="s">
        <v>66</v>
      </c>
      <c r="D23" s="5">
        <f>-N(-125000)</f>
        <v>125000</v>
      </c>
      <c r="E23" s="30">
        <f>-N(0)</f>
        <v>0</v>
      </c>
      <c r="F23" s="30">
        <f t="shared" si="8"/>
        <v>125000</v>
      </c>
      <c r="G23" s="30"/>
      <c r="H23" s="31">
        <f t="shared" si="9"/>
        <v>0</v>
      </c>
      <c r="I23" s="32">
        <f>-N(0)</f>
        <v>0</v>
      </c>
      <c r="J23" s="30">
        <f t="shared" si="10"/>
        <v>125000</v>
      </c>
      <c r="K23" s="30"/>
      <c r="L23" s="30">
        <f t="shared" si="11"/>
        <v>0</v>
      </c>
      <c r="M23" s="5">
        <f>-N(-125000)</f>
        <v>125000</v>
      </c>
      <c r="N23" s="30">
        <f>-N(0)</f>
        <v>0</v>
      </c>
      <c r="O23" s="30">
        <f t="shared" si="12"/>
        <v>125000</v>
      </c>
      <c r="P23" s="30"/>
      <c r="Q23" s="30">
        <f t="shared" si="13"/>
        <v>0</v>
      </c>
      <c r="R23" s="32">
        <f>-N(0)</f>
        <v>0</v>
      </c>
      <c r="S23" s="33">
        <f t="shared" si="14"/>
        <v>125000</v>
      </c>
      <c r="T23" s="34"/>
      <c r="U23" s="34">
        <f t="shared" si="15"/>
        <v>0</v>
      </c>
    </row>
    <row r="24" spans="1:21" hidden="1" outlineLevel="2">
      <c r="A24" s="22"/>
      <c r="B24" s="28">
        <v>3218</v>
      </c>
      <c r="C24" s="29" t="s">
        <v>67</v>
      </c>
      <c r="D24" s="5">
        <f>-N(-22170)</f>
        <v>22170</v>
      </c>
      <c r="E24" s="30">
        <f>-N(0)</f>
        <v>0</v>
      </c>
      <c r="F24" s="30">
        <f t="shared" si="8"/>
        <v>22170</v>
      </c>
      <c r="G24" s="30"/>
      <c r="H24" s="31">
        <f t="shared" si="9"/>
        <v>0</v>
      </c>
      <c r="I24" s="32">
        <f>-N(-9675.5)</f>
        <v>9675.5</v>
      </c>
      <c r="J24" s="30">
        <f t="shared" si="10"/>
        <v>12494.5</v>
      </c>
      <c r="K24" s="30"/>
      <c r="L24" s="30">
        <f t="shared" si="11"/>
        <v>129.13544519663066</v>
      </c>
      <c r="M24" s="5">
        <f>-N(-22170)</f>
        <v>22170</v>
      </c>
      <c r="N24" s="30">
        <f>-N(0)</f>
        <v>0</v>
      </c>
      <c r="O24" s="30">
        <f t="shared" si="12"/>
        <v>22170</v>
      </c>
      <c r="P24" s="30"/>
      <c r="Q24" s="30">
        <f t="shared" si="13"/>
        <v>0</v>
      </c>
      <c r="R24" s="32">
        <f>-N(-9675.5)</f>
        <v>9675.5</v>
      </c>
      <c r="S24" s="33">
        <f t="shared" si="14"/>
        <v>12494.5</v>
      </c>
      <c r="T24" s="34"/>
      <c r="U24" s="34">
        <f t="shared" si="15"/>
        <v>129.13544519663066</v>
      </c>
    </row>
    <row r="25" spans="1:21" hidden="1" outlineLevel="2">
      <c r="A25" s="22"/>
      <c r="B25" s="28">
        <v>3238</v>
      </c>
      <c r="C25" s="29" t="s">
        <v>69</v>
      </c>
      <c r="D25" s="5">
        <f>-N(-2879253.85)</f>
        <v>2879253.85</v>
      </c>
      <c r="E25" s="30">
        <f>-N(-1965000)</f>
        <v>1965000</v>
      </c>
      <c r="F25" s="30">
        <f t="shared" si="8"/>
        <v>914253.85000000009</v>
      </c>
      <c r="G25" s="30"/>
      <c r="H25" s="31">
        <f t="shared" si="9"/>
        <v>46.5269134860051</v>
      </c>
      <c r="I25" s="32">
        <f>-N(-1900334.09)</f>
        <v>1900334.09</v>
      </c>
      <c r="J25" s="30">
        <f t="shared" si="10"/>
        <v>978919.76</v>
      </c>
      <c r="K25" s="30"/>
      <c r="L25" s="30">
        <f t="shared" si="11"/>
        <v>51.513034742222615</v>
      </c>
      <c r="M25" s="5">
        <f>-N(-2879253.85)</f>
        <v>2879253.85</v>
      </c>
      <c r="N25" s="30">
        <f>-N(-1965000)</f>
        <v>1965000</v>
      </c>
      <c r="O25" s="30">
        <f t="shared" si="12"/>
        <v>914253.85000000009</v>
      </c>
      <c r="P25" s="30"/>
      <c r="Q25" s="30">
        <f t="shared" si="13"/>
        <v>46.5269134860051</v>
      </c>
      <c r="R25" s="32">
        <f>-N(-1900334.09)</f>
        <v>1900334.09</v>
      </c>
      <c r="S25" s="33">
        <f t="shared" si="14"/>
        <v>978919.76</v>
      </c>
      <c r="T25" s="34"/>
      <c r="U25" s="34">
        <f t="shared" si="15"/>
        <v>51.513034742222615</v>
      </c>
    </row>
    <row r="26" spans="1:21" hidden="1" outlineLevel="1">
      <c r="A26" s="22"/>
      <c r="B26" s="35" t="str">
        <f>"    "&amp;"Gaver"</f>
        <v xml:space="preserve">    Gaver</v>
      </c>
      <c r="C26" s="36"/>
      <c r="D26" s="37">
        <f>SUM(D23:D25)</f>
        <v>3026423.85</v>
      </c>
      <c r="E26" s="33">
        <f>SUM(E23:E25)</f>
        <v>1965000</v>
      </c>
      <c r="F26" s="33">
        <f t="shared" si="8"/>
        <v>1061423.8500000001</v>
      </c>
      <c r="G26" s="33"/>
      <c r="H26" s="38">
        <f t="shared" si="9"/>
        <v>54.016480916030545</v>
      </c>
      <c r="I26" s="39">
        <f>SUM(I23:I25)</f>
        <v>1910009.59</v>
      </c>
      <c r="J26" s="33">
        <f t="shared" si="10"/>
        <v>1116414.26</v>
      </c>
      <c r="K26" s="33"/>
      <c r="L26" s="40">
        <f t="shared" si="11"/>
        <v>58.450714899290112</v>
      </c>
      <c r="M26" s="37">
        <f>SUM(M23:M25)</f>
        <v>3026423.85</v>
      </c>
      <c r="N26" s="33">
        <f>SUM(N23:N25)</f>
        <v>1965000</v>
      </c>
      <c r="O26" s="33">
        <f t="shared" si="12"/>
        <v>1061423.8500000001</v>
      </c>
      <c r="P26" s="33"/>
      <c r="Q26" s="33">
        <f t="shared" si="13"/>
        <v>54.016480916030545</v>
      </c>
      <c r="R26" s="39">
        <f>SUM(R23:R25)</f>
        <v>1910009.59</v>
      </c>
      <c r="S26" s="33">
        <f t="shared" si="14"/>
        <v>1116414.26</v>
      </c>
      <c r="T26" s="34"/>
      <c r="U26" s="34">
        <f t="shared" si="15"/>
        <v>58.450714899290112</v>
      </c>
    </row>
    <row r="27" spans="1:21" collapsed="1">
      <c r="A27" s="22"/>
      <c r="B27" s="41" t="s">
        <v>70</v>
      </c>
      <c r="C27" s="42"/>
      <c r="D27" s="43">
        <f>SUM(D26)</f>
        <v>3026423.85</v>
      </c>
      <c r="E27" s="44">
        <f>SUM(E26)</f>
        <v>1965000</v>
      </c>
      <c r="F27" s="44">
        <f t="shared" si="8"/>
        <v>1061423.8500000001</v>
      </c>
      <c r="G27" s="44"/>
      <c r="H27" s="45">
        <f t="shared" si="9"/>
        <v>54.016480916030545</v>
      </c>
      <c r="I27" s="46">
        <f>SUM(I26)</f>
        <v>1910009.59</v>
      </c>
      <c r="J27" s="44">
        <f t="shared" si="10"/>
        <v>1116414.26</v>
      </c>
      <c r="K27" s="44"/>
      <c r="L27" s="44">
        <f t="shared" si="11"/>
        <v>58.450714899290112</v>
      </c>
      <c r="M27" s="43">
        <f>SUM(M26)</f>
        <v>3026423.85</v>
      </c>
      <c r="N27" s="44">
        <f>SUM(N26)</f>
        <v>1965000</v>
      </c>
      <c r="O27" s="44">
        <f t="shared" si="12"/>
        <v>1061423.8500000001</v>
      </c>
      <c r="P27" s="44"/>
      <c r="Q27" s="44">
        <f t="shared" si="13"/>
        <v>54.016480916030545</v>
      </c>
      <c r="R27" s="46">
        <f>SUM(R26)</f>
        <v>1910009.59</v>
      </c>
      <c r="S27" s="44">
        <f t="shared" si="14"/>
        <v>1116414.26</v>
      </c>
      <c r="T27" s="47"/>
      <c r="U27" s="47">
        <f t="shared" si="15"/>
        <v>58.450714899290112</v>
      </c>
    </row>
    <row r="28" spans="1:21" hidden="1" outlineLevel="2">
      <c r="A28" s="22"/>
      <c r="B28" s="28">
        <v>3225</v>
      </c>
      <c r="C28" s="29" t="s">
        <v>71</v>
      </c>
      <c r="D28" s="5">
        <f>-N(-319070)</f>
        <v>319070</v>
      </c>
      <c r="E28" s="30">
        <f>-N(-415000)</f>
        <v>415000</v>
      </c>
      <c r="F28" s="30">
        <f t="shared" si="8"/>
        <v>-95930</v>
      </c>
      <c r="G28" s="30"/>
      <c r="H28" s="31">
        <f t="shared" si="9"/>
        <v>-23.11566265060241</v>
      </c>
      <c r="I28" s="32">
        <f>-N(-284420)</f>
        <v>284420</v>
      </c>
      <c r="J28" s="30">
        <f t="shared" si="10"/>
        <v>34650</v>
      </c>
      <c r="K28" s="30"/>
      <c r="L28" s="30">
        <f t="shared" si="11"/>
        <v>12.182687574713452</v>
      </c>
      <c r="M28" s="5">
        <f>-N(-319070)</f>
        <v>319070</v>
      </c>
      <c r="N28" s="30">
        <f>-N(-415000)</f>
        <v>415000</v>
      </c>
      <c r="O28" s="30">
        <f t="shared" si="12"/>
        <v>-95930</v>
      </c>
      <c r="P28" s="30"/>
      <c r="Q28" s="30">
        <f t="shared" si="13"/>
        <v>-23.11566265060241</v>
      </c>
      <c r="R28" s="32">
        <f>-N(-284420)</f>
        <v>284420</v>
      </c>
      <c r="S28" s="33">
        <f t="shared" si="14"/>
        <v>34650</v>
      </c>
      <c r="T28" s="34"/>
      <c r="U28" s="34">
        <f t="shared" si="15"/>
        <v>12.182687574713452</v>
      </c>
    </row>
    <row r="29" spans="1:21" hidden="1" outlineLevel="2">
      <c r="A29" s="22"/>
      <c r="B29" s="28">
        <v>3410</v>
      </c>
      <c r="C29" s="29" t="s">
        <v>22</v>
      </c>
      <c r="D29" s="5">
        <f>-N(-2631764)</f>
        <v>2631764</v>
      </c>
      <c r="E29" s="30">
        <f>-N(-4700000)</f>
        <v>4700000</v>
      </c>
      <c r="F29" s="30">
        <f t="shared" si="8"/>
        <v>-2068236</v>
      </c>
      <c r="G29" s="30"/>
      <c r="H29" s="31">
        <f t="shared" si="9"/>
        <v>-44.005021276595741</v>
      </c>
      <c r="I29" s="32">
        <f>-N(-3891232.1)</f>
        <v>3891232.1</v>
      </c>
      <c r="J29" s="30">
        <f t="shared" si="10"/>
        <v>-1259468.1000000001</v>
      </c>
      <c r="K29" s="30"/>
      <c r="L29" s="30">
        <f t="shared" si="11"/>
        <v>-32.366820267544568</v>
      </c>
      <c r="M29" s="5">
        <f>-N(-2631764)</f>
        <v>2631764</v>
      </c>
      <c r="N29" s="30">
        <f>-N(-4700000)</f>
        <v>4700000</v>
      </c>
      <c r="O29" s="30">
        <f t="shared" si="12"/>
        <v>-2068236</v>
      </c>
      <c r="P29" s="30"/>
      <c r="Q29" s="30">
        <f t="shared" si="13"/>
        <v>-44.005021276595741</v>
      </c>
      <c r="R29" s="32">
        <f>-N(-3891232.1)</f>
        <v>3891232.1</v>
      </c>
      <c r="S29" s="33">
        <f t="shared" si="14"/>
        <v>-1259468.1000000001</v>
      </c>
      <c r="T29" s="34"/>
      <c r="U29" s="34">
        <f t="shared" si="15"/>
        <v>-32.366820267544568</v>
      </c>
    </row>
    <row r="30" spans="1:21" hidden="1" outlineLevel="2">
      <c r="A30" s="22"/>
      <c r="B30" s="28">
        <v>3411</v>
      </c>
      <c r="C30" s="29" t="s">
        <v>23</v>
      </c>
      <c r="D30" s="5">
        <f>-N(-184223.71)</f>
        <v>184223.71</v>
      </c>
      <c r="E30" s="30">
        <f>-N(-307150)</f>
        <v>307150</v>
      </c>
      <c r="F30" s="30">
        <f t="shared" si="8"/>
        <v>-122926.29000000001</v>
      </c>
      <c r="G30" s="30"/>
      <c r="H30" s="31">
        <f t="shared" si="9"/>
        <v>-40.021582288783982</v>
      </c>
      <c r="I30" s="32">
        <f>-N(-272386.66)</f>
        <v>272386.65999999997</v>
      </c>
      <c r="J30" s="30">
        <f t="shared" si="10"/>
        <v>-88162.949999999983</v>
      </c>
      <c r="K30" s="30"/>
      <c r="L30" s="30">
        <f t="shared" si="11"/>
        <v>-32.366838376005632</v>
      </c>
      <c r="M30" s="5">
        <f>-N(-184223.71)</f>
        <v>184223.71</v>
      </c>
      <c r="N30" s="30">
        <f>-N(-307150)</f>
        <v>307150</v>
      </c>
      <c r="O30" s="30">
        <f t="shared" si="12"/>
        <v>-122926.29000000001</v>
      </c>
      <c r="P30" s="30"/>
      <c r="Q30" s="30">
        <f t="shared" si="13"/>
        <v>-40.021582288783982</v>
      </c>
      <c r="R30" s="32">
        <f>-N(-272386.66)</f>
        <v>272386.65999999997</v>
      </c>
      <c r="S30" s="33">
        <f t="shared" si="14"/>
        <v>-88162.949999999983</v>
      </c>
      <c r="T30" s="34"/>
      <c r="U30" s="34">
        <f t="shared" si="15"/>
        <v>-32.366838376005632</v>
      </c>
    </row>
    <row r="31" spans="1:21" hidden="1" outlineLevel="2">
      <c r="A31" s="22"/>
      <c r="B31" s="28">
        <v>3412</v>
      </c>
      <c r="C31" s="29" t="s">
        <v>24</v>
      </c>
      <c r="D31" s="5">
        <f>-N(0)</f>
        <v>0</v>
      </c>
      <c r="E31" s="30">
        <f>-N(0)</f>
        <v>0</v>
      </c>
      <c r="F31" s="30">
        <f t="shared" si="8"/>
        <v>0</v>
      </c>
      <c r="G31" s="30"/>
      <c r="H31" s="31">
        <f t="shared" si="9"/>
        <v>0</v>
      </c>
      <c r="I31" s="32">
        <f>-N(-261338)</f>
        <v>261338</v>
      </c>
      <c r="J31" s="30">
        <f t="shared" si="10"/>
        <v>-261338</v>
      </c>
      <c r="K31" s="30"/>
      <c r="L31" s="30">
        <f t="shared" si="11"/>
        <v>-100</v>
      </c>
      <c r="M31" s="5">
        <f>-N(0)</f>
        <v>0</v>
      </c>
      <c r="N31" s="30">
        <f>-N(0)</f>
        <v>0</v>
      </c>
      <c r="O31" s="30">
        <f t="shared" si="12"/>
        <v>0</v>
      </c>
      <c r="P31" s="30"/>
      <c r="Q31" s="30">
        <f t="shared" si="13"/>
        <v>0</v>
      </c>
      <c r="R31" s="32">
        <f>-N(-261338)</f>
        <v>261338</v>
      </c>
      <c r="S31" s="33">
        <f t="shared" si="14"/>
        <v>-261338</v>
      </c>
      <c r="T31" s="34"/>
      <c r="U31" s="34">
        <f t="shared" si="15"/>
        <v>-100</v>
      </c>
    </row>
    <row r="32" spans="1:21" hidden="1" outlineLevel="2">
      <c r="A32" s="22"/>
      <c r="B32" s="28">
        <v>3450</v>
      </c>
      <c r="C32" s="29" t="s">
        <v>72</v>
      </c>
      <c r="D32" s="5">
        <f>-N(-11915127)</f>
        <v>11915127</v>
      </c>
      <c r="E32" s="30">
        <f>-N(-11600000)</f>
        <v>11600000</v>
      </c>
      <c r="F32" s="30">
        <f t="shared" si="8"/>
        <v>315127</v>
      </c>
      <c r="G32" s="30"/>
      <c r="H32" s="31">
        <f t="shared" si="9"/>
        <v>2.7166120689655173</v>
      </c>
      <c r="I32" s="32">
        <f>-N(-11597823)</f>
        <v>11597823</v>
      </c>
      <c r="J32" s="30">
        <f t="shared" si="10"/>
        <v>317304</v>
      </c>
      <c r="K32" s="30"/>
      <c r="L32" s="30">
        <f t="shared" si="11"/>
        <v>2.7358927619433406</v>
      </c>
      <c r="M32" s="5">
        <f>-N(-11915127)</f>
        <v>11915127</v>
      </c>
      <c r="N32" s="30">
        <f>-N(-11600000)</f>
        <v>11600000</v>
      </c>
      <c r="O32" s="30">
        <f t="shared" si="12"/>
        <v>315127</v>
      </c>
      <c r="P32" s="30"/>
      <c r="Q32" s="30">
        <f t="shared" si="13"/>
        <v>2.7166120689655173</v>
      </c>
      <c r="R32" s="32">
        <f>-N(-11597823)</f>
        <v>11597823</v>
      </c>
      <c r="S32" s="33">
        <f t="shared" si="14"/>
        <v>317304</v>
      </c>
      <c r="T32" s="34"/>
      <c r="U32" s="34">
        <f t="shared" si="15"/>
        <v>2.7358927619433406</v>
      </c>
    </row>
    <row r="33" spans="1:21" hidden="1" outlineLevel="1">
      <c r="A33" s="22"/>
      <c r="B33" s="35" t="str">
        <f>"    "&amp;"Offentlige tilskudd og refusjoner"</f>
        <v xml:space="preserve">    Offentlige tilskudd og refusjoner</v>
      </c>
      <c r="C33" s="36"/>
      <c r="D33" s="37">
        <f>SUM(D28:D32)</f>
        <v>15050184.710000001</v>
      </c>
      <c r="E33" s="33">
        <f>SUM(E28:E32)</f>
        <v>17022150</v>
      </c>
      <c r="F33" s="33">
        <f t="shared" si="8"/>
        <v>-1971965.2899999991</v>
      </c>
      <c r="G33" s="33"/>
      <c r="H33" s="38">
        <f t="shared" si="9"/>
        <v>-11.584701638747157</v>
      </c>
      <c r="I33" s="39">
        <f>SUM(I28:I32)</f>
        <v>16307199.76</v>
      </c>
      <c r="J33" s="33">
        <f t="shared" si="10"/>
        <v>-1257015.0499999989</v>
      </c>
      <c r="K33" s="33"/>
      <c r="L33" s="40">
        <f t="shared" si="11"/>
        <v>-7.7083439738276613</v>
      </c>
      <c r="M33" s="37">
        <f>SUM(M28:M32)</f>
        <v>15050184.710000001</v>
      </c>
      <c r="N33" s="33">
        <f>SUM(N28:N32)</f>
        <v>17022150</v>
      </c>
      <c r="O33" s="33">
        <f t="shared" si="12"/>
        <v>-1971965.2899999991</v>
      </c>
      <c r="P33" s="33"/>
      <c r="Q33" s="33">
        <f t="shared" si="13"/>
        <v>-11.584701638747157</v>
      </c>
      <c r="R33" s="39">
        <f>SUM(R28:R32)</f>
        <v>16307199.76</v>
      </c>
      <c r="S33" s="33">
        <f t="shared" si="14"/>
        <v>-1257015.0499999989</v>
      </c>
      <c r="T33" s="34"/>
      <c r="U33" s="34">
        <f t="shared" si="15"/>
        <v>-7.7083439738276613</v>
      </c>
    </row>
    <row r="34" spans="1:21" hidden="1" outlineLevel="2">
      <c r="A34" s="22"/>
      <c r="B34" s="28">
        <v>3210</v>
      </c>
      <c r="C34" s="29" t="s">
        <v>27</v>
      </c>
      <c r="D34" s="5">
        <f>-N(-10762240)</f>
        <v>10762240</v>
      </c>
      <c r="E34" s="30">
        <f>-N(-11100000)</f>
        <v>11100000</v>
      </c>
      <c r="F34" s="30">
        <f t="shared" si="8"/>
        <v>-337760</v>
      </c>
      <c r="G34" s="30"/>
      <c r="H34" s="31">
        <f t="shared" si="9"/>
        <v>-3.0428828828828829</v>
      </c>
      <c r="I34" s="32">
        <f>-N(-9767101.04)</f>
        <v>9767101.0399999991</v>
      </c>
      <c r="J34" s="30">
        <f t="shared" si="10"/>
        <v>995138.96000000089</v>
      </c>
      <c r="K34" s="30"/>
      <c r="L34" s="30">
        <f t="shared" si="11"/>
        <v>10.188682966670743</v>
      </c>
      <c r="M34" s="5">
        <f>-N(-10762240)</f>
        <v>10762240</v>
      </c>
      <c r="N34" s="30">
        <f>-N(-11100000)</f>
        <v>11100000</v>
      </c>
      <c r="O34" s="30">
        <f t="shared" si="12"/>
        <v>-337760</v>
      </c>
      <c r="P34" s="30"/>
      <c r="Q34" s="30">
        <f t="shared" si="13"/>
        <v>-3.0428828828828829</v>
      </c>
      <c r="R34" s="32">
        <f>-N(-9767101.04)</f>
        <v>9767101.0399999991</v>
      </c>
      <c r="S34" s="33">
        <f t="shared" si="14"/>
        <v>995138.96000000089</v>
      </c>
      <c r="T34" s="34"/>
      <c r="U34" s="34">
        <f t="shared" si="15"/>
        <v>10.188682966670743</v>
      </c>
    </row>
    <row r="35" spans="1:21" hidden="1" outlineLevel="2">
      <c r="A35" s="22"/>
      <c r="B35" s="28">
        <v>3212</v>
      </c>
      <c r="C35" s="29" t="s">
        <v>28</v>
      </c>
      <c r="D35" s="5">
        <f>-N(-2690560)</f>
        <v>2690560</v>
      </c>
      <c r="E35" s="30">
        <f>-N(-2784000)</f>
        <v>2784000</v>
      </c>
      <c r="F35" s="30">
        <f t="shared" si="8"/>
        <v>-93440</v>
      </c>
      <c r="G35" s="30"/>
      <c r="H35" s="31">
        <f t="shared" si="9"/>
        <v>-3.3563218390804597</v>
      </c>
      <c r="I35" s="32">
        <f>-N(-2584948.96)</f>
        <v>2584948.96</v>
      </c>
      <c r="J35" s="30">
        <f t="shared" si="10"/>
        <v>105611.04000000004</v>
      </c>
      <c r="K35" s="30"/>
      <c r="L35" s="30">
        <f t="shared" si="11"/>
        <v>4.085614131429506</v>
      </c>
      <c r="M35" s="5">
        <f>-N(-2690560)</f>
        <v>2690560</v>
      </c>
      <c r="N35" s="30">
        <f>-N(-2784000)</f>
        <v>2784000</v>
      </c>
      <c r="O35" s="30">
        <f t="shared" si="12"/>
        <v>-93440</v>
      </c>
      <c r="P35" s="30"/>
      <c r="Q35" s="30">
        <f t="shared" si="13"/>
        <v>-3.3563218390804597</v>
      </c>
      <c r="R35" s="32">
        <f>-N(-2584948.96)</f>
        <v>2584948.96</v>
      </c>
      <c r="S35" s="33">
        <f t="shared" si="14"/>
        <v>105611.04000000004</v>
      </c>
      <c r="T35" s="34"/>
      <c r="U35" s="34">
        <f t="shared" si="15"/>
        <v>4.085614131429506</v>
      </c>
    </row>
    <row r="36" spans="1:21" hidden="1" outlineLevel="2">
      <c r="A36" s="22"/>
      <c r="B36" s="28">
        <v>3215</v>
      </c>
      <c r="C36" s="29" t="s">
        <v>73</v>
      </c>
      <c r="D36" s="5">
        <f>-N(0)</f>
        <v>0</v>
      </c>
      <c r="E36" s="30">
        <f>-N(200)</f>
        <v>-200</v>
      </c>
      <c r="F36" s="30">
        <f t="shared" si="8"/>
        <v>200</v>
      </c>
      <c r="G36" s="30"/>
      <c r="H36" s="31">
        <f t="shared" si="9"/>
        <v>-100</v>
      </c>
      <c r="I36" s="32">
        <f>-N(0)</f>
        <v>0</v>
      </c>
      <c r="J36" s="30">
        <f t="shared" si="10"/>
        <v>0</v>
      </c>
      <c r="K36" s="30"/>
      <c r="L36" s="30">
        <f t="shared" si="11"/>
        <v>0</v>
      </c>
      <c r="M36" s="5">
        <f>-N(0)</f>
        <v>0</v>
      </c>
      <c r="N36" s="30">
        <f>-N(200)</f>
        <v>-200</v>
      </c>
      <c r="O36" s="30">
        <f t="shared" si="12"/>
        <v>200</v>
      </c>
      <c r="P36" s="30"/>
      <c r="Q36" s="30">
        <f t="shared" si="13"/>
        <v>-100</v>
      </c>
      <c r="R36" s="32">
        <f>-N(0)</f>
        <v>0</v>
      </c>
      <c r="S36" s="33">
        <f t="shared" si="14"/>
        <v>0</v>
      </c>
      <c r="T36" s="34"/>
      <c r="U36" s="34">
        <f t="shared" si="15"/>
        <v>0</v>
      </c>
    </row>
    <row r="37" spans="1:21" hidden="1" outlineLevel="2">
      <c r="A37" s="22"/>
      <c r="B37" s="28">
        <v>3230</v>
      </c>
      <c r="C37" s="29" t="s">
        <v>74</v>
      </c>
      <c r="D37" s="5">
        <f>-N(-9224591.93)</f>
        <v>9224591.9299999997</v>
      </c>
      <c r="E37" s="30">
        <f>-N(-10000000)</f>
        <v>10000000</v>
      </c>
      <c r="F37" s="30">
        <f t="shared" si="8"/>
        <v>-775408.0700000003</v>
      </c>
      <c r="G37" s="30"/>
      <c r="H37" s="31">
        <f t="shared" si="9"/>
        <v>-7.7540807000000029</v>
      </c>
      <c r="I37" s="32">
        <f>-N(-10028616.3)</f>
        <v>10028616.300000001</v>
      </c>
      <c r="J37" s="30">
        <f t="shared" si="10"/>
        <v>-804024.37000000104</v>
      </c>
      <c r="K37" s="30"/>
      <c r="L37" s="30">
        <f t="shared" si="11"/>
        <v>-8.0173011505086791</v>
      </c>
      <c r="M37" s="5">
        <f>-N(-9224591.93)</f>
        <v>9224591.9299999997</v>
      </c>
      <c r="N37" s="30">
        <f>-N(-10000000)</f>
        <v>10000000</v>
      </c>
      <c r="O37" s="30">
        <f t="shared" si="12"/>
        <v>-775408.0700000003</v>
      </c>
      <c r="P37" s="30"/>
      <c r="Q37" s="30">
        <f t="shared" si="13"/>
        <v>-7.7540807000000029</v>
      </c>
      <c r="R37" s="32">
        <f>-N(-10028616.3)</f>
        <v>10028616.300000001</v>
      </c>
      <c r="S37" s="33">
        <f t="shared" si="14"/>
        <v>-804024.37000000104</v>
      </c>
      <c r="T37" s="34"/>
      <c r="U37" s="34">
        <f t="shared" si="15"/>
        <v>-8.0173011505086791</v>
      </c>
    </row>
    <row r="38" spans="1:21" hidden="1" outlineLevel="1">
      <c r="A38" s="22"/>
      <c r="B38" s="35" t="str">
        <f>"    "&amp;"Tilskudd frikirkens menigheter"</f>
        <v xml:space="preserve">    Tilskudd frikirkens menigheter</v>
      </c>
      <c r="C38" s="36"/>
      <c r="D38" s="37">
        <f>SUM(D34:D37)</f>
        <v>22677391.93</v>
      </c>
      <c r="E38" s="33">
        <f>SUM(E34:E37)</f>
        <v>23883800</v>
      </c>
      <c r="F38" s="33">
        <f t="shared" si="8"/>
        <v>-1206408.0700000003</v>
      </c>
      <c r="G38" s="33"/>
      <c r="H38" s="38">
        <f t="shared" si="9"/>
        <v>-5.0511563067853533</v>
      </c>
      <c r="I38" s="39">
        <f>SUM(I34:I37)</f>
        <v>22380666.300000001</v>
      </c>
      <c r="J38" s="33">
        <f t="shared" si="10"/>
        <v>296725.62999999896</v>
      </c>
      <c r="K38" s="33"/>
      <c r="L38" s="40">
        <f t="shared" si="11"/>
        <v>1.3258123150694532</v>
      </c>
      <c r="M38" s="37">
        <f>SUM(M34:M37)</f>
        <v>22677391.93</v>
      </c>
      <c r="N38" s="33">
        <f>SUM(N34:N37)</f>
        <v>23883800</v>
      </c>
      <c r="O38" s="33">
        <f t="shared" si="12"/>
        <v>-1206408.0700000003</v>
      </c>
      <c r="P38" s="33"/>
      <c r="Q38" s="33">
        <f t="shared" si="13"/>
        <v>-5.0511563067853533</v>
      </c>
      <c r="R38" s="39">
        <f>SUM(R34:R37)</f>
        <v>22380666.300000001</v>
      </c>
      <c r="S38" s="33">
        <f t="shared" si="14"/>
        <v>296725.62999999896</v>
      </c>
      <c r="T38" s="34"/>
      <c r="U38" s="34">
        <f t="shared" si="15"/>
        <v>1.3258123150694532</v>
      </c>
    </row>
    <row r="39" spans="1:21" hidden="1" outlineLevel="2">
      <c r="A39" s="22"/>
      <c r="B39" s="28">
        <v>3807</v>
      </c>
      <c r="C39" s="29" t="s">
        <v>75</v>
      </c>
      <c r="D39" s="5">
        <f>-N(-15000)</f>
        <v>15000</v>
      </c>
      <c r="E39" s="30">
        <f>-N(0)</f>
        <v>0</v>
      </c>
      <c r="F39" s="30">
        <f t="shared" si="8"/>
        <v>15000</v>
      </c>
      <c r="G39" s="30"/>
      <c r="H39" s="31">
        <f t="shared" si="9"/>
        <v>0</v>
      </c>
      <c r="I39" s="32">
        <f>-N(0)</f>
        <v>0</v>
      </c>
      <c r="J39" s="30">
        <f t="shared" si="10"/>
        <v>15000</v>
      </c>
      <c r="K39" s="30"/>
      <c r="L39" s="30">
        <f t="shared" si="11"/>
        <v>0</v>
      </c>
      <c r="M39" s="5">
        <f>-N(-15000)</f>
        <v>15000</v>
      </c>
      <c r="N39" s="30">
        <f>-N(0)</f>
        <v>0</v>
      </c>
      <c r="O39" s="30">
        <f t="shared" si="12"/>
        <v>15000</v>
      </c>
      <c r="P39" s="30"/>
      <c r="Q39" s="30">
        <f t="shared" si="13"/>
        <v>0</v>
      </c>
      <c r="R39" s="32">
        <f>-N(0)</f>
        <v>0</v>
      </c>
      <c r="S39" s="33">
        <f t="shared" si="14"/>
        <v>15000</v>
      </c>
      <c r="T39" s="34"/>
      <c r="U39" s="34">
        <f t="shared" si="15"/>
        <v>0</v>
      </c>
    </row>
    <row r="40" spans="1:21" hidden="1" outlineLevel="1">
      <c r="A40" s="22"/>
      <c r="B40" s="35" t="str">
        <f>"    "&amp;"Gevinst ved avgang av anleggsmidler"</f>
        <v xml:space="preserve">    Gevinst ved avgang av anleggsmidler</v>
      </c>
      <c r="C40" s="36"/>
      <c r="D40" s="37">
        <f>SUM(D39)</f>
        <v>15000</v>
      </c>
      <c r="E40" s="33">
        <f>SUM(E39)</f>
        <v>0</v>
      </c>
      <c r="F40" s="33">
        <f t="shared" si="8"/>
        <v>15000</v>
      </c>
      <c r="G40" s="33"/>
      <c r="H40" s="38">
        <f t="shared" si="9"/>
        <v>0</v>
      </c>
      <c r="I40" s="39">
        <f>SUM(I39)</f>
        <v>0</v>
      </c>
      <c r="J40" s="33">
        <f t="shared" si="10"/>
        <v>15000</v>
      </c>
      <c r="K40" s="33"/>
      <c r="L40" s="40">
        <f t="shared" si="11"/>
        <v>0</v>
      </c>
      <c r="M40" s="37">
        <f>SUM(M39)</f>
        <v>15000</v>
      </c>
      <c r="N40" s="33">
        <f>SUM(N39)</f>
        <v>0</v>
      </c>
      <c r="O40" s="33">
        <f t="shared" si="12"/>
        <v>15000</v>
      </c>
      <c r="P40" s="33"/>
      <c r="Q40" s="33">
        <f t="shared" si="13"/>
        <v>0</v>
      </c>
      <c r="R40" s="39">
        <f>SUM(R39)</f>
        <v>0</v>
      </c>
      <c r="S40" s="33">
        <f t="shared" si="14"/>
        <v>15000</v>
      </c>
      <c r="T40" s="34"/>
      <c r="U40" s="34">
        <f t="shared" si="15"/>
        <v>0</v>
      </c>
    </row>
    <row r="41" spans="1:21" hidden="1" outlineLevel="2">
      <c r="A41" s="22"/>
      <c r="B41" s="28">
        <v>3211</v>
      </c>
      <c r="C41" s="29" t="s">
        <v>76</v>
      </c>
      <c r="D41" s="5">
        <f>-N(0)</f>
        <v>0</v>
      </c>
      <c r="E41" s="30">
        <f>-N(-125000)</f>
        <v>125000</v>
      </c>
      <c r="F41" s="30">
        <f t="shared" si="8"/>
        <v>-125000</v>
      </c>
      <c r="G41" s="30"/>
      <c r="H41" s="31">
        <f t="shared" si="9"/>
        <v>-100</v>
      </c>
      <c r="I41" s="32">
        <f>-N(-125000)</f>
        <v>125000</v>
      </c>
      <c r="J41" s="30">
        <f t="shared" si="10"/>
        <v>-125000</v>
      </c>
      <c r="K41" s="30"/>
      <c r="L41" s="30">
        <f t="shared" si="11"/>
        <v>-100</v>
      </c>
      <c r="M41" s="5">
        <f>-N(0)</f>
        <v>0</v>
      </c>
      <c r="N41" s="30">
        <f>-N(-125000)</f>
        <v>125000</v>
      </c>
      <c r="O41" s="30">
        <f t="shared" si="12"/>
        <v>-125000</v>
      </c>
      <c r="P41" s="30"/>
      <c r="Q41" s="30">
        <f t="shared" si="13"/>
        <v>-100</v>
      </c>
      <c r="R41" s="32">
        <f>-N(-125000)</f>
        <v>125000</v>
      </c>
      <c r="S41" s="33">
        <f t="shared" si="14"/>
        <v>-125000</v>
      </c>
      <c r="T41" s="34"/>
      <c r="U41" s="34">
        <f t="shared" si="15"/>
        <v>-100</v>
      </c>
    </row>
    <row r="42" spans="1:21" hidden="1" outlineLevel="2">
      <c r="A42" s="22"/>
      <c r="B42" s="28">
        <v>3455</v>
      </c>
      <c r="C42" s="29" t="s">
        <v>77</v>
      </c>
      <c r="D42" s="5">
        <f>-N(-1493808)</f>
        <v>1493808</v>
      </c>
      <c r="E42" s="30">
        <f>-N(-1251300)</f>
        <v>1251300</v>
      </c>
      <c r="F42" s="30">
        <f t="shared" si="8"/>
        <v>242508</v>
      </c>
      <c r="G42" s="30"/>
      <c r="H42" s="31">
        <f t="shared" si="9"/>
        <v>19.380484296331815</v>
      </c>
      <c r="I42" s="32">
        <f>-N(-1459028)</f>
        <v>1459028</v>
      </c>
      <c r="J42" s="30">
        <f t="shared" si="10"/>
        <v>34780</v>
      </c>
      <c r="K42" s="30"/>
      <c r="L42" s="30">
        <f t="shared" si="11"/>
        <v>2.3837787897147966</v>
      </c>
      <c r="M42" s="5">
        <f>-N(-1493808)</f>
        <v>1493808</v>
      </c>
      <c r="N42" s="30">
        <f>-N(-1251300)</f>
        <v>1251300</v>
      </c>
      <c r="O42" s="30">
        <f t="shared" si="12"/>
        <v>242508</v>
      </c>
      <c r="P42" s="30"/>
      <c r="Q42" s="30">
        <f t="shared" si="13"/>
        <v>19.380484296331815</v>
      </c>
      <c r="R42" s="32">
        <f>-N(-1459028)</f>
        <v>1459028</v>
      </c>
      <c r="S42" s="33">
        <f t="shared" si="14"/>
        <v>34780</v>
      </c>
      <c r="T42" s="34"/>
      <c r="U42" s="34">
        <f t="shared" si="15"/>
        <v>2.3837787897147966</v>
      </c>
    </row>
    <row r="43" spans="1:21" hidden="1" outlineLevel="2">
      <c r="A43" s="22"/>
      <c r="B43" s="28">
        <v>3600</v>
      </c>
      <c r="C43" s="29" t="s">
        <v>78</v>
      </c>
      <c r="D43" s="5">
        <f>-N(-416271.69)</f>
        <v>416271.69</v>
      </c>
      <c r="E43" s="30">
        <f>-N(-372850)</f>
        <v>372850</v>
      </c>
      <c r="F43" s="30">
        <f t="shared" si="8"/>
        <v>43421.69</v>
      </c>
      <c r="G43" s="30"/>
      <c r="H43" s="31">
        <f t="shared" si="9"/>
        <v>11.645887085959501</v>
      </c>
      <c r="I43" s="32">
        <f>-N(-418207.33)</f>
        <v>418207.33</v>
      </c>
      <c r="J43" s="30">
        <f t="shared" si="10"/>
        <v>-1935.640000000014</v>
      </c>
      <c r="K43" s="30"/>
      <c r="L43" s="30">
        <f t="shared" si="11"/>
        <v>-0.46284219838997415</v>
      </c>
      <c r="M43" s="5">
        <f>-N(-416271.69)</f>
        <v>416271.69</v>
      </c>
      <c r="N43" s="30">
        <f>-N(-372850)</f>
        <v>372850</v>
      </c>
      <c r="O43" s="30">
        <f t="shared" si="12"/>
        <v>43421.69</v>
      </c>
      <c r="P43" s="30"/>
      <c r="Q43" s="30">
        <f t="shared" si="13"/>
        <v>11.645887085959501</v>
      </c>
      <c r="R43" s="32">
        <f>-N(-418207.33)</f>
        <v>418207.33</v>
      </c>
      <c r="S43" s="33">
        <f t="shared" si="14"/>
        <v>-1935.640000000014</v>
      </c>
      <c r="T43" s="34"/>
      <c r="U43" s="34">
        <f t="shared" si="15"/>
        <v>-0.46284219838997415</v>
      </c>
    </row>
    <row r="44" spans="1:21" hidden="1" outlineLevel="2">
      <c r="A44" s="22"/>
      <c r="B44" s="28">
        <v>3900</v>
      </c>
      <c r="C44" s="29" t="s">
        <v>79</v>
      </c>
      <c r="D44" s="5">
        <f>-N(-56530.62)</f>
        <v>56530.62</v>
      </c>
      <c r="E44" s="30">
        <f>-N(-78500.08)</f>
        <v>78500.08</v>
      </c>
      <c r="F44" s="30">
        <f t="shared" si="8"/>
        <v>-21969.46</v>
      </c>
      <c r="G44" s="30"/>
      <c r="H44" s="31">
        <f t="shared" si="9"/>
        <v>-27.986544727088177</v>
      </c>
      <c r="I44" s="32">
        <f>-N(-251648.75)</f>
        <v>251648.75</v>
      </c>
      <c r="J44" s="30">
        <f t="shared" si="10"/>
        <v>-195118.13</v>
      </c>
      <c r="K44" s="30"/>
      <c r="L44" s="30">
        <f t="shared" si="11"/>
        <v>-77.535902721551366</v>
      </c>
      <c r="M44" s="5">
        <f>-N(-56530.62)</f>
        <v>56530.62</v>
      </c>
      <c r="N44" s="30">
        <f>-N(-78500.08)</f>
        <v>78500.08</v>
      </c>
      <c r="O44" s="30">
        <f t="shared" si="12"/>
        <v>-21969.46</v>
      </c>
      <c r="P44" s="30"/>
      <c r="Q44" s="30">
        <f t="shared" si="13"/>
        <v>-27.986544727088177</v>
      </c>
      <c r="R44" s="32">
        <f>-N(-251648.75)</f>
        <v>251648.75</v>
      </c>
      <c r="S44" s="33">
        <f t="shared" si="14"/>
        <v>-195118.13</v>
      </c>
      <c r="T44" s="34"/>
      <c r="U44" s="34">
        <f t="shared" si="15"/>
        <v>-77.535902721551366</v>
      </c>
    </row>
    <row r="45" spans="1:21" hidden="1" outlineLevel="1">
      <c r="A45" s="22"/>
      <c r="B45" s="35" t="str">
        <f>"    "&amp;"Annen driftsrelatert inntekt"</f>
        <v xml:space="preserve">    Annen driftsrelatert inntekt</v>
      </c>
      <c r="C45" s="36"/>
      <c r="D45" s="37">
        <f>SUM(D41:D44)</f>
        <v>1966610.31</v>
      </c>
      <c r="E45" s="33">
        <f>SUM(E41:E44)</f>
        <v>1827650.08</v>
      </c>
      <c r="F45" s="33">
        <f>D45-E45</f>
        <v>138960.22999999998</v>
      </c>
      <c r="G45" s="33"/>
      <c r="H45" s="38">
        <f>IF(E45=0,0,F45*100/E45)</f>
        <v>7.6032185548340836</v>
      </c>
      <c r="I45" s="39">
        <f>SUM(I41:I44)</f>
        <v>2253884.08</v>
      </c>
      <c r="J45" s="33">
        <f>D45-I45</f>
        <v>-287273.77</v>
      </c>
      <c r="K45" s="33"/>
      <c r="L45" s="40">
        <f>IF(I45=0,0,J45*100/I45)</f>
        <v>-12.745720711599329</v>
      </c>
      <c r="M45" s="37">
        <f>SUM(M41:M44)</f>
        <v>1966610.31</v>
      </c>
      <c r="N45" s="33">
        <f>SUM(N41:N44)</f>
        <v>1827650.08</v>
      </c>
      <c r="O45" s="33">
        <f>M45-N45</f>
        <v>138960.22999999998</v>
      </c>
      <c r="P45" s="33"/>
      <c r="Q45" s="33">
        <f>IF(N45=0,0,O45*100/N45)</f>
        <v>7.6032185548340836</v>
      </c>
      <c r="R45" s="39">
        <f>SUM(R41:R44)</f>
        <v>2253884.08</v>
      </c>
      <c r="S45" s="33">
        <f>M45-R45</f>
        <v>-287273.77</v>
      </c>
      <c r="T45" s="34"/>
      <c r="U45" s="34">
        <f>IF(R45=0,0,S45*100/R45)</f>
        <v>-12.745720711599329</v>
      </c>
    </row>
    <row r="46" spans="1:21" collapsed="1">
      <c r="A46" s="22"/>
      <c r="B46" s="41" t="s">
        <v>80</v>
      </c>
      <c r="C46" s="42"/>
      <c r="D46" s="43">
        <f ca="1">SUM(OSRRefD13_2x_0)</f>
        <v>39709186.950000003</v>
      </c>
      <c r="E46" s="44">
        <f ca="1">SUM(OSRRefE13_2x_0)</f>
        <v>42733600.079999998</v>
      </c>
      <c r="F46" s="44">
        <f ca="1">D46-E46</f>
        <v>-3024413.1299999952</v>
      </c>
      <c r="G46" s="44"/>
      <c r="H46" s="45">
        <f ca="1">IF(E46=0,0,F46*100/E46)</f>
        <v>-7.0773656428152618</v>
      </c>
      <c r="I46" s="46">
        <f ca="1">SUM(OSRRefI13_2x_0)</f>
        <v>40941750.140000001</v>
      </c>
      <c r="J46" s="44">
        <f ca="1">D46-I46</f>
        <v>-1232563.1899999976</v>
      </c>
      <c r="K46" s="44"/>
      <c r="L46" s="44">
        <f ca="1">IF(I46=0,0,J46*100/I46)</f>
        <v>-3.0105288264064365</v>
      </c>
      <c r="M46" s="43">
        <f ca="1">SUM(OSRRefM13_2x_0)</f>
        <v>39709186.950000003</v>
      </c>
      <c r="N46" s="44">
        <f ca="1">SUM(OSRRefN13_2x_0)</f>
        <v>42733600.079999998</v>
      </c>
      <c r="O46" s="44">
        <f ca="1">M46-N46</f>
        <v>-3024413.1299999952</v>
      </c>
      <c r="P46" s="44"/>
      <c r="Q46" s="44">
        <f ca="1">IF(N46=0,0,O46*100/N46)</f>
        <v>-7.0773656428152618</v>
      </c>
      <c r="R46" s="46">
        <f ca="1">SUM(OSRRefR13_2x_0)</f>
        <v>40941750.140000001</v>
      </c>
      <c r="S46" s="44">
        <f ca="1">M46-R46</f>
        <v>-1232563.1899999976</v>
      </c>
      <c r="T46" s="47"/>
      <c r="U46" s="47">
        <f ca="1">IF(R46=0,0,S46*100/R46)</f>
        <v>-3.0105288264064365</v>
      </c>
    </row>
    <row r="47" spans="1:21">
      <c r="A47" s="22"/>
      <c r="B47" s="48" t="s">
        <v>10</v>
      </c>
      <c r="C47" s="49"/>
      <c r="D47" s="50">
        <f ca="1">SUM(D22,D27,D46)</f>
        <v>45023174.150000006</v>
      </c>
      <c r="E47" s="51">
        <f ca="1">SUM(E22,E27,E46)</f>
        <v>48408600.079999998</v>
      </c>
      <c r="F47" s="51">
        <f ca="1">D47-E47</f>
        <v>-3385425.9299999923</v>
      </c>
      <c r="G47" s="51"/>
      <c r="H47" s="52">
        <f ca="1">IF(E47=0,0,F47*100/E47)</f>
        <v>-6.9934390261342845</v>
      </c>
      <c r="I47" s="53">
        <f ca="1">SUM(I22,I27,I46)</f>
        <v>43611995.509999998</v>
      </c>
      <c r="J47" s="51">
        <f ca="1">D47-I47</f>
        <v>1411178.640000008</v>
      </c>
      <c r="K47" s="51"/>
      <c r="L47" s="51">
        <f ca="1">IF(I47=0,0,J47*100/I47)</f>
        <v>3.235758014504134</v>
      </c>
      <c r="M47" s="50">
        <f ca="1">SUM(M22,M27,M46)</f>
        <v>45023174.150000006</v>
      </c>
      <c r="N47" s="51">
        <f ca="1">SUM(N22,N27,N46)</f>
        <v>48408600.079999998</v>
      </c>
      <c r="O47" s="51">
        <f ca="1">M47-N47</f>
        <v>-3385425.9299999923</v>
      </c>
      <c r="P47" s="51"/>
      <c r="Q47" s="51">
        <f ca="1">IF(N47=0,0,O47*100/N47)</f>
        <v>-6.9934390261342845</v>
      </c>
      <c r="R47" s="53">
        <f ca="1">SUM(R22,R27,R46)</f>
        <v>43611995.509999998</v>
      </c>
      <c r="S47" s="51">
        <f ca="1">M47-R47</f>
        <v>1411178.640000008</v>
      </c>
      <c r="T47" s="54"/>
      <c r="U47" s="54">
        <f ca="1">IF(R47=0,0,S47*100/R47)</f>
        <v>3.235758014504134</v>
      </c>
    </row>
    <row r="48" spans="1:21" ht="9" customHeight="1">
      <c r="A48" s="22"/>
      <c r="B48" s="23"/>
      <c r="C48" s="24"/>
      <c r="D48" s="27"/>
      <c r="H48" s="55"/>
      <c r="I48" s="56"/>
      <c r="M48" s="27"/>
      <c r="R48" s="56"/>
      <c r="T48" s="24"/>
      <c r="U48" s="24"/>
    </row>
    <row r="49" spans="1:21" hidden="1" outlineLevel="2">
      <c r="A49" s="22"/>
      <c r="B49" s="28">
        <v>4301</v>
      </c>
      <c r="C49" s="29" t="s">
        <v>81</v>
      </c>
      <c r="D49" s="5">
        <f>N(205504.23)</f>
        <v>205504.23</v>
      </c>
      <c r="E49" s="30">
        <f>N(100000.02)</f>
        <v>100000.02</v>
      </c>
      <c r="F49" s="30">
        <f t="shared" ref="F49:F109" si="16">-D49+E49</f>
        <v>-105504.21</v>
      </c>
      <c r="G49" s="30"/>
      <c r="H49" s="31">
        <f t="shared" ref="H49:H109" si="17">IF(E49=0,0,F49*100/E49)</f>
        <v>-105.50418889916222</v>
      </c>
      <c r="I49" s="32">
        <f>N(26419.37)</f>
        <v>26419.37</v>
      </c>
      <c r="J49" s="30">
        <f t="shared" ref="J49:J109" si="18">-D49+I49</f>
        <v>-179084.86000000002</v>
      </c>
      <c r="K49" s="30"/>
      <c r="L49" s="30">
        <f t="shared" ref="L49:L109" si="19">IF(I49=0,0,J49*100/I49)</f>
        <v>-677.85439244009228</v>
      </c>
      <c r="M49" s="5">
        <f>N(205504.23)</f>
        <v>205504.23</v>
      </c>
      <c r="N49" s="30">
        <f>N(100000.02)</f>
        <v>100000.02</v>
      </c>
      <c r="O49" s="30">
        <f t="shared" ref="O49:O109" si="20">-M49+N49</f>
        <v>-105504.21</v>
      </c>
      <c r="P49" s="30"/>
      <c r="Q49" s="30">
        <f t="shared" ref="Q49:Q109" si="21">IF(N49=0,0,O49*100/N49)</f>
        <v>-105.50418889916222</v>
      </c>
      <c r="R49" s="32">
        <f>N(26419.37)</f>
        <v>26419.37</v>
      </c>
      <c r="S49" s="33">
        <f t="shared" ref="S49:S109" si="22">-M49+R49</f>
        <v>-179084.86000000002</v>
      </c>
      <c r="T49" s="34"/>
      <c r="U49" s="34">
        <f t="shared" ref="U49:U109" si="23">IF(R49=0,0,S49*100/R49)</f>
        <v>-677.85439244009228</v>
      </c>
    </row>
    <row r="50" spans="1:21" hidden="1" outlineLevel="2">
      <c r="A50" s="22"/>
      <c r="B50" s="28">
        <v>4305</v>
      </c>
      <c r="C50" s="29" t="s">
        <v>82</v>
      </c>
      <c r="D50" s="5">
        <f>N(47372)</f>
        <v>47372</v>
      </c>
      <c r="E50" s="30">
        <f>N(64000)</f>
        <v>64000</v>
      </c>
      <c r="F50" s="30">
        <f t="shared" si="16"/>
        <v>16628</v>
      </c>
      <c r="G50" s="30"/>
      <c r="H50" s="31">
        <f t="shared" si="17"/>
        <v>25.981249999999999</v>
      </c>
      <c r="I50" s="32">
        <f>N(0)</f>
        <v>0</v>
      </c>
      <c r="J50" s="30">
        <f t="shared" si="18"/>
        <v>-47372</v>
      </c>
      <c r="K50" s="30"/>
      <c r="L50" s="30">
        <f t="shared" si="19"/>
        <v>0</v>
      </c>
      <c r="M50" s="5">
        <f>N(47372)</f>
        <v>47372</v>
      </c>
      <c r="N50" s="30">
        <f>N(64000)</f>
        <v>64000</v>
      </c>
      <c r="O50" s="30">
        <f t="shared" si="20"/>
        <v>16628</v>
      </c>
      <c r="P50" s="30"/>
      <c r="Q50" s="30">
        <f t="shared" si="21"/>
        <v>25.981249999999999</v>
      </c>
      <c r="R50" s="32">
        <f>N(0)</f>
        <v>0</v>
      </c>
      <c r="S50" s="33">
        <f t="shared" si="22"/>
        <v>-47372</v>
      </c>
      <c r="T50" s="34"/>
      <c r="U50" s="34">
        <f t="shared" si="23"/>
        <v>0</v>
      </c>
    </row>
    <row r="51" spans="1:21" hidden="1" outlineLevel="2">
      <c r="A51" s="22"/>
      <c r="B51" s="28">
        <v>4309</v>
      </c>
      <c r="C51" s="29" t="s">
        <v>331</v>
      </c>
      <c r="D51" s="5">
        <f>N(0)</f>
        <v>0</v>
      </c>
      <c r="E51" s="30">
        <f>N(50000)</f>
        <v>50000</v>
      </c>
      <c r="F51" s="30">
        <f t="shared" si="16"/>
        <v>50000</v>
      </c>
      <c r="G51" s="30"/>
      <c r="H51" s="31">
        <f t="shared" si="17"/>
        <v>100</v>
      </c>
      <c r="I51" s="32">
        <f>N(0)</f>
        <v>0</v>
      </c>
      <c r="J51" s="30">
        <f t="shared" si="18"/>
        <v>0</v>
      </c>
      <c r="K51" s="30"/>
      <c r="L51" s="30">
        <f t="shared" si="19"/>
        <v>0</v>
      </c>
      <c r="M51" s="5">
        <f>N(0)</f>
        <v>0</v>
      </c>
      <c r="N51" s="30">
        <f>N(50000)</f>
        <v>50000</v>
      </c>
      <c r="O51" s="30">
        <f t="shared" si="20"/>
        <v>50000</v>
      </c>
      <c r="P51" s="30"/>
      <c r="Q51" s="30">
        <f t="shared" si="21"/>
        <v>100</v>
      </c>
      <c r="R51" s="32">
        <f>N(0)</f>
        <v>0</v>
      </c>
      <c r="S51" s="33">
        <f t="shared" si="22"/>
        <v>0</v>
      </c>
      <c r="T51" s="34"/>
      <c r="U51" s="34">
        <f t="shared" si="23"/>
        <v>0</v>
      </c>
    </row>
    <row r="52" spans="1:21" hidden="1" outlineLevel="2">
      <c r="A52" s="22"/>
      <c r="B52" s="28">
        <v>4360</v>
      </c>
      <c r="C52" s="29" t="s">
        <v>83</v>
      </c>
      <c r="D52" s="5">
        <f>N(28627.5)</f>
        <v>28627.5</v>
      </c>
      <c r="E52" s="30">
        <f>N(36000)</f>
        <v>36000</v>
      </c>
      <c r="F52" s="30">
        <f t="shared" si="16"/>
        <v>7372.5</v>
      </c>
      <c r="G52" s="30"/>
      <c r="H52" s="31">
        <f t="shared" si="17"/>
        <v>20.479166666666668</v>
      </c>
      <c r="I52" s="32">
        <f>N(0)</f>
        <v>0</v>
      </c>
      <c r="J52" s="30">
        <f t="shared" si="18"/>
        <v>-28627.5</v>
      </c>
      <c r="K52" s="30"/>
      <c r="L52" s="30">
        <f t="shared" si="19"/>
        <v>0</v>
      </c>
      <c r="M52" s="5">
        <f>N(28627.5)</f>
        <v>28627.5</v>
      </c>
      <c r="N52" s="30">
        <f>N(36000)</f>
        <v>36000</v>
      </c>
      <c r="O52" s="30">
        <f t="shared" si="20"/>
        <v>7372.5</v>
      </c>
      <c r="P52" s="30"/>
      <c r="Q52" s="30">
        <f t="shared" si="21"/>
        <v>20.479166666666668</v>
      </c>
      <c r="R52" s="32">
        <f>N(0)</f>
        <v>0</v>
      </c>
      <c r="S52" s="33">
        <f t="shared" si="22"/>
        <v>-28627.5</v>
      </c>
      <c r="T52" s="34"/>
      <c r="U52" s="34">
        <f t="shared" si="23"/>
        <v>0</v>
      </c>
    </row>
    <row r="53" spans="1:21" hidden="1" outlineLevel="1">
      <c r="A53" s="22"/>
      <c r="B53" s="35" t="str">
        <f>"    "&amp;"Forbruk av innkjøpte varer for videresalg"</f>
        <v xml:space="preserve">    Forbruk av innkjøpte varer for videresalg</v>
      </c>
      <c r="C53" s="36"/>
      <c r="D53" s="37">
        <f>SUM(D49:D52)</f>
        <v>281503.73</v>
      </c>
      <c r="E53" s="33">
        <f>SUM(E49:E52)</f>
        <v>250000.02000000002</v>
      </c>
      <c r="F53" s="33">
        <f t="shared" si="16"/>
        <v>-31503.709999999963</v>
      </c>
      <c r="G53" s="33"/>
      <c r="H53" s="38">
        <f t="shared" si="17"/>
        <v>-12.601482991881344</v>
      </c>
      <c r="I53" s="39">
        <f>SUM(I49:I52)</f>
        <v>26419.37</v>
      </c>
      <c r="J53" s="33">
        <f t="shared" si="18"/>
        <v>-255084.36</v>
      </c>
      <c r="K53" s="33"/>
      <c r="L53" s="33">
        <f t="shared" si="19"/>
        <v>-965.52022247313243</v>
      </c>
      <c r="M53" s="37">
        <f>SUM(M49:M52)</f>
        <v>281503.73</v>
      </c>
      <c r="N53" s="33">
        <f>SUM(N49:N52)</f>
        <v>250000.02000000002</v>
      </c>
      <c r="O53" s="33">
        <f t="shared" si="20"/>
        <v>-31503.709999999963</v>
      </c>
      <c r="P53" s="33"/>
      <c r="Q53" s="33">
        <f t="shared" si="21"/>
        <v>-12.601482991881344</v>
      </c>
      <c r="R53" s="39">
        <f>SUM(R49:R52)</f>
        <v>26419.37</v>
      </c>
      <c r="S53" s="33">
        <f t="shared" si="22"/>
        <v>-255084.36</v>
      </c>
      <c r="T53" s="34"/>
      <c r="U53" s="34">
        <f t="shared" si="23"/>
        <v>-965.52022247313243</v>
      </c>
    </row>
    <row r="54" spans="1:21" collapsed="1">
      <c r="A54" s="22"/>
      <c r="B54" s="41" t="s">
        <v>16</v>
      </c>
      <c r="C54" s="42"/>
      <c r="D54" s="43">
        <f>SUM(D53)</f>
        <v>281503.73</v>
      </c>
      <c r="E54" s="44">
        <f>SUM(E53)</f>
        <v>250000.02000000002</v>
      </c>
      <c r="F54" s="44">
        <f t="shared" si="16"/>
        <v>-31503.709999999963</v>
      </c>
      <c r="G54" s="44"/>
      <c r="H54" s="45">
        <f t="shared" si="17"/>
        <v>-12.601482991881344</v>
      </c>
      <c r="I54" s="46">
        <f>SUM(I53)</f>
        <v>26419.37</v>
      </c>
      <c r="J54" s="44">
        <f t="shared" si="18"/>
        <v>-255084.36</v>
      </c>
      <c r="K54" s="44"/>
      <c r="L54" s="44">
        <f t="shared" si="19"/>
        <v>-965.52022247313243</v>
      </c>
      <c r="M54" s="43">
        <f>SUM(M53)</f>
        <v>281503.73</v>
      </c>
      <c r="N54" s="44">
        <f>SUM(N53)</f>
        <v>250000.02000000002</v>
      </c>
      <c r="O54" s="44">
        <f t="shared" si="20"/>
        <v>-31503.709999999963</v>
      </c>
      <c r="P54" s="44"/>
      <c r="Q54" s="44">
        <f t="shared" si="21"/>
        <v>-12.601482991881344</v>
      </c>
      <c r="R54" s="46">
        <f>SUM(R53)</f>
        <v>26419.37</v>
      </c>
      <c r="S54" s="44">
        <f t="shared" si="22"/>
        <v>-255084.36</v>
      </c>
      <c r="T54" s="47"/>
      <c r="U54" s="47">
        <f t="shared" si="23"/>
        <v>-965.52022247313243</v>
      </c>
    </row>
    <row r="55" spans="1:21" hidden="1" outlineLevel="2">
      <c r="A55" s="22"/>
      <c r="B55" s="28">
        <v>5000</v>
      </c>
      <c r="C55" s="29" t="s">
        <v>84</v>
      </c>
      <c r="D55" s="5">
        <f>N(9071820.36)</f>
        <v>9071820.3599999994</v>
      </c>
      <c r="E55" s="30">
        <f>N(10902343.528845)</f>
        <v>10902343.528844999</v>
      </c>
      <c r="F55" s="30">
        <f t="shared" si="16"/>
        <v>1830523.1688449997</v>
      </c>
      <c r="G55" s="30"/>
      <c r="H55" s="31">
        <f t="shared" si="17"/>
        <v>16.790180606599602</v>
      </c>
      <c r="I55" s="32">
        <f>N(8627235.78)</f>
        <v>8627235.7799999993</v>
      </c>
      <c r="J55" s="30">
        <f t="shared" si="18"/>
        <v>-444584.58000000007</v>
      </c>
      <c r="K55" s="30"/>
      <c r="L55" s="30">
        <f t="shared" si="19"/>
        <v>-5.1532679914771045</v>
      </c>
      <c r="M55" s="5">
        <f>N(9071820.36)</f>
        <v>9071820.3599999994</v>
      </c>
      <c r="N55" s="30">
        <f>N(10902343.528845)</f>
        <v>10902343.528844999</v>
      </c>
      <c r="O55" s="30">
        <f t="shared" si="20"/>
        <v>1830523.1688449997</v>
      </c>
      <c r="P55" s="30"/>
      <c r="Q55" s="30">
        <f t="shared" si="21"/>
        <v>16.790180606599602</v>
      </c>
      <c r="R55" s="32">
        <f>N(8627235.78)</f>
        <v>8627235.7799999993</v>
      </c>
      <c r="S55" s="33">
        <f t="shared" si="22"/>
        <v>-444584.58000000007</v>
      </c>
      <c r="T55" s="34"/>
      <c r="U55" s="34">
        <f t="shared" si="23"/>
        <v>-5.1532679914771045</v>
      </c>
    </row>
    <row r="56" spans="1:21" hidden="1" outlineLevel="2">
      <c r="A56" s="22"/>
      <c r="B56" s="28">
        <v>5001</v>
      </c>
      <c r="C56" s="29" t="s">
        <v>85</v>
      </c>
      <c r="D56" s="5">
        <f>N(108190.75)</f>
        <v>108190.75</v>
      </c>
      <c r="E56" s="30">
        <f>N(0)</f>
        <v>0</v>
      </c>
      <c r="F56" s="30">
        <f t="shared" si="16"/>
        <v>-108190.75</v>
      </c>
      <c r="G56" s="30"/>
      <c r="H56" s="31">
        <f t="shared" si="17"/>
        <v>0</v>
      </c>
      <c r="I56" s="32">
        <f>N(104238)</f>
        <v>104238</v>
      </c>
      <c r="J56" s="30">
        <f t="shared" si="18"/>
        <v>-3952.75</v>
      </c>
      <c r="K56" s="30"/>
      <c r="L56" s="30">
        <f t="shared" si="19"/>
        <v>-3.7920432088106066</v>
      </c>
      <c r="M56" s="5">
        <f>N(108190.75)</f>
        <v>108190.75</v>
      </c>
      <c r="N56" s="30">
        <f>N(0)</f>
        <v>0</v>
      </c>
      <c r="O56" s="30">
        <f t="shared" si="20"/>
        <v>-108190.75</v>
      </c>
      <c r="P56" s="30"/>
      <c r="Q56" s="30">
        <f t="shared" si="21"/>
        <v>0</v>
      </c>
      <c r="R56" s="32">
        <f>N(104238)</f>
        <v>104238</v>
      </c>
      <c r="S56" s="33">
        <f t="shared" si="22"/>
        <v>-3952.75</v>
      </c>
      <c r="T56" s="34"/>
      <c r="U56" s="34">
        <f t="shared" si="23"/>
        <v>-3.7920432088106066</v>
      </c>
    </row>
    <row r="57" spans="1:21" hidden="1" outlineLevel="2">
      <c r="A57" s="22"/>
      <c r="B57" s="28">
        <v>5002</v>
      </c>
      <c r="C57" s="29" t="s">
        <v>86</v>
      </c>
      <c r="D57" s="5">
        <f>N(2464402)</f>
        <v>2464402</v>
      </c>
      <c r="E57" s="30">
        <f>N(1831308.995192)</f>
        <v>1831308.9951919999</v>
      </c>
      <c r="F57" s="30">
        <f t="shared" si="16"/>
        <v>-633093.00480800006</v>
      </c>
      <c r="G57" s="30"/>
      <c r="H57" s="31">
        <f t="shared" si="17"/>
        <v>-34.570517944822562</v>
      </c>
      <c r="I57" s="32">
        <f>N(2053305.05)</f>
        <v>2053305.05</v>
      </c>
      <c r="J57" s="30">
        <f t="shared" si="18"/>
        <v>-411096.94999999995</v>
      </c>
      <c r="K57" s="30"/>
      <c r="L57" s="30">
        <f t="shared" si="19"/>
        <v>-20.02123113660096</v>
      </c>
      <c r="M57" s="5">
        <f>N(2464402)</f>
        <v>2464402</v>
      </c>
      <c r="N57" s="30">
        <f>N(1831308.995192)</f>
        <v>1831308.9951919999</v>
      </c>
      <c r="O57" s="30">
        <f t="shared" si="20"/>
        <v>-633093.00480800006</v>
      </c>
      <c r="P57" s="30"/>
      <c r="Q57" s="30">
        <f t="shared" si="21"/>
        <v>-34.570517944822562</v>
      </c>
      <c r="R57" s="32">
        <f>N(2053305.05)</f>
        <v>2053305.05</v>
      </c>
      <c r="S57" s="33">
        <f t="shared" si="22"/>
        <v>-411096.94999999995</v>
      </c>
      <c r="T57" s="34"/>
      <c r="U57" s="34">
        <f t="shared" si="23"/>
        <v>-20.02123113660096</v>
      </c>
    </row>
    <row r="58" spans="1:21" hidden="1" outlineLevel="2">
      <c r="A58" s="22"/>
      <c r="B58" s="28">
        <v>5005</v>
      </c>
      <c r="C58" s="29" t="s">
        <v>87</v>
      </c>
      <c r="D58" s="5">
        <f t="shared" ref="D58:E61" si="24">N(0)</f>
        <v>0</v>
      </c>
      <c r="E58" s="30">
        <f>N(137)</f>
        <v>137</v>
      </c>
      <c r="F58" s="30">
        <f t="shared" si="16"/>
        <v>137</v>
      </c>
      <c r="G58" s="30"/>
      <c r="H58" s="31">
        <f t="shared" si="17"/>
        <v>100</v>
      </c>
      <c r="I58" s="32">
        <f>N(0)</f>
        <v>0</v>
      </c>
      <c r="J58" s="30">
        <f t="shared" si="18"/>
        <v>0</v>
      </c>
      <c r="K58" s="30"/>
      <c r="L58" s="30">
        <f t="shared" si="19"/>
        <v>0</v>
      </c>
      <c r="M58" s="5">
        <f t="shared" ref="M58:N61" si="25">N(0)</f>
        <v>0</v>
      </c>
      <c r="N58" s="30">
        <f>N(137)</f>
        <v>137</v>
      </c>
      <c r="O58" s="30">
        <f t="shared" si="20"/>
        <v>137</v>
      </c>
      <c r="P58" s="30"/>
      <c r="Q58" s="30">
        <f t="shared" si="21"/>
        <v>100</v>
      </c>
      <c r="R58" s="32">
        <f>N(0)</f>
        <v>0</v>
      </c>
      <c r="S58" s="33">
        <f t="shared" si="22"/>
        <v>0</v>
      </c>
      <c r="T58" s="34"/>
      <c r="U58" s="34">
        <f t="shared" si="23"/>
        <v>0</v>
      </c>
    </row>
    <row r="59" spans="1:21" hidden="1" outlineLevel="2">
      <c r="A59" s="22"/>
      <c r="B59" s="28">
        <v>5006</v>
      </c>
      <c r="C59" s="29" t="s">
        <v>88</v>
      </c>
      <c r="D59" s="5">
        <f t="shared" si="24"/>
        <v>0</v>
      </c>
      <c r="E59" s="30">
        <f t="shared" si="24"/>
        <v>0</v>
      </c>
      <c r="F59" s="30">
        <f t="shared" si="16"/>
        <v>0</v>
      </c>
      <c r="G59" s="30"/>
      <c r="H59" s="31">
        <f t="shared" si="17"/>
        <v>0</v>
      </c>
      <c r="I59" s="32">
        <f>N(0)</f>
        <v>0</v>
      </c>
      <c r="J59" s="30">
        <f t="shared" si="18"/>
        <v>0</v>
      </c>
      <c r="K59" s="30"/>
      <c r="L59" s="30">
        <f t="shared" si="19"/>
        <v>0</v>
      </c>
      <c r="M59" s="5">
        <f t="shared" si="25"/>
        <v>0</v>
      </c>
      <c r="N59" s="30">
        <f t="shared" si="25"/>
        <v>0</v>
      </c>
      <c r="O59" s="30">
        <f t="shared" si="20"/>
        <v>0</v>
      </c>
      <c r="P59" s="30"/>
      <c r="Q59" s="30">
        <f t="shared" si="21"/>
        <v>0</v>
      </c>
      <c r="R59" s="32">
        <f>N(0)</f>
        <v>0</v>
      </c>
      <c r="S59" s="33">
        <f t="shared" si="22"/>
        <v>0</v>
      </c>
      <c r="T59" s="34"/>
      <c r="U59" s="34">
        <f t="shared" si="23"/>
        <v>0</v>
      </c>
    </row>
    <row r="60" spans="1:21" hidden="1" outlineLevel="2">
      <c r="A60" s="22"/>
      <c r="B60" s="28">
        <v>5007</v>
      </c>
      <c r="C60" s="29" t="s">
        <v>89</v>
      </c>
      <c r="D60" s="5">
        <f>N(80240)</f>
        <v>80240</v>
      </c>
      <c r="E60" s="30">
        <f t="shared" si="24"/>
        <v>0</v>
      </c>
      <c r="F60" s="30">
        <f t="shared" si="16"/>
        <v>-80240</v>
      </c>
      <c r="G60" s="30"/>
      <c r="H60" s="31">
        <f t="shared" si="17"/>
        <v>0</v>
      </c>
      <c r="I60" s="32">
        <f>N(108191.5)</f>
        <v>108191.5</v>
      </c>
      <c r="J60" s="30">
        <f t="shared" si="18"/>
        <v>27951.5</v>
      </c>
      <c r="K60" s="30"/>
      <c r="L60" s="30">
        <f t="shared" si="19"/>
        <v>25.835208865761174</v>
      </c>
      <c r="M60" s="5">
        <f>N(80240)</f>
        <v>80240</v>
      </c>
      <c r="N60" s="30">
        <f t="shared" si="25"/>
        <v>0</v>
      </c>
      <c r="O60" s="30">
        <f t="shared" si="20"/>
        <v>-80240</v>
      </c>
      <c r="P60" s="30"/>
      <c r="Q60" s="30">
        <f t="shared" si="21"/>
        <v>0</v>
      </c>
      <c r="R60" s="32">
        <f>N(108191.5)</f>
        <v>108191.5</v>
      </c>
      <c r="S60" s="33">
        <f t="shared" si="22"/>
        <v>27951.5</v>
      </c>
      <c r="T60" s="34"/>
      <c r="U60" s="34">
        <f t="shared" si="23"/>
        <v>25.835208865761174</v>
      </c>
    </row>
    <row r="61" spans="1:21" hidden="1" outlineLevel="2">
      <c r="A61" s="22"/>
      <c r="B61" s="28">
        <v>5009</v>
      </c>
      <c r="C61" s="29" t="s">
        <v>91</v>
      </c>
      <c r="D61" s="5">
        <f>N(122600)</f>
        <v>122600</v>
      </c>
      <c r="E61" s="30">
        <f t="shared" si="24"/>
        <v>0</v>
      </c>
      <c r="F61" s="30">
        <f t="shared" si="16"/>
        <v>-122600</v>
      </c>
      <c r="G61" s="30"/>
      <c r="H61" s="31">
        <f t="shared" si="17"/>
        <v>0</v>
      </c>
      <c r="I61" s="32">
        <f>N(574820.71)</f>
        <v>574820.71</v>
      </c>
      <c r="J61" s="30">
        <f t="shared" si="18"/>
        <v>452220.70999999996</v>
      </c>
      <c r="K61" s="30"/>
      <c r="L61" s="30">
        <f t="shared" si="19"/>
        <v>78.671610492252455</v>
      </c>
      <c r="M61" s="5">
        <f>N(122600)</f>
        <v>122600</v>
      </c>
      <c r="N61" s="30">
        <f t="shared" si="25"/>
        <v>0</v>
      </c>
      <c r="O61" s="30">
        <f t="shared" si="20"/>
        <v>-122600</v>
      </c>
      <c r="P61" s="30"/>
      <c r="Q61" s="30">
        <f t="shared" si="21"/>
        <v>0</v>
      </c>
      <c r="R61" s="32">
        <f>N(574820.71)</f>
        <v>574820.71</v>
      </c>
      <c r="S61" s="33">
        <f t="shared" si="22"/>
        <v>452220.70999999996</v>
      </c>
      <c r="T61" s="34"/>
      <c r="U61" s="34">
        <f t="shared" si="23"/>
        <v>78.671610492252455</v>
      </c>
    </row>
    <row r="62" spans="1:21" hidden="1" outlineLevel="2">
      <c r="A62" s="22"/>
      <c r="B62" s="28">
        <v>5010</v>
      </c>
      <c r="C62" s="29" t="s">
        <v>92</v>
      </c>
      <c r="D62" s="5">
        <f>N(1531482)</f>
        <v>1531482</v>
      </c>
      <c r="E62" s="30">
        <f>N(1575274.913089)</f>
        <v>1575274.9130889999</v>
      </c>
      <c r="F62" s="30">
        <f t="shared" si="16"/>
        <v>43792.913088999921</v>
      </c>
      <c r="G62" s="30"/>
      <c r="H62" s="31">
        <f t="shared" si="17"/>
        <v>2.7800171719312914</v>
      </c>
      <c r="I62" s="32">
        <f>N(1480407.61)</f>
        <v>1480407.61</v>
      </c>
      <c r="J62" s="30">
        <f t="shared" si="18"/>
        <v>-51074.389999999898</v>
      </c>
      <c r="K62" s="30"/>
      <c r="L62" s="30">
        <f t="shared" si="19"/>
        <v>-3.4500221192459213</v>
      </c>
      <c r="M62" s="5">
        <f>N(1531482)</f>
        <v>1531482</v>
      </c>
      <c r="N62" s="30">
        <f>N(1575274.913089)</f>
        <v>1575274.9130889999</v>
      </c>
      <c r="O62" s="30">
        <f t="shared" si="20"/>
        <v>43792.913088999921</v>
      </c>
      <c r="P62" s="30"/>
      <c r="Q62" s="30">
        <f t="shared" si="21"/>
        <v>2.7800171719312914</v>
      </c>
      <c r="R62" s="32">
        <f>N(1480407.61)</f>
        <v>1480407.61</v>
      </c>
      <c r="S62" s="33">
        <f t="shared" si="22"/>
        <v>-51074.389999999898</v>
      </c>
      <c r="T62" s="34"/>
      <c r="U62" s="34">
        <f t="shared" si="23"/>
        <v>-3.4500221192459213</v>
      </c>
    </row>
    <row r="63" spans="1:21" hidden="1" outlineLevel="2">
      <c r="A63" s="22"/>
      <c r="B63" s="28">
        <v>5021</v>
      </c>
      <c r="C63" s="29" t="s">
        <v>93</v>
      </c>
      <c r="D63" s="5">
        <f>N(117144)</f>
        <v>117144</v>
      </c>
      <c r="E63" s="30">
        <f>N(207000)</f>
        <v>207000</v>
      </c>
      <c r="F63" s="30">
        <f t="shared" si="16"/>
        <v>89856</v>
      </c>
      <c r="G63" s="30"/>
      <c r="H63" s="31">
        <f t="shared" si="17"/>
        <v>43.408695652173911</v>
      </c>
      <c r="I63" s="32">
        <f>N(165864.86)</f>
        <v>165864.85999999999</v>
      </c>
      <c r="J63" s="30">
        <f t="shared" si="18"/>
        <v>48720.859999999986</v>
      </c>
      <c r="K63" s="30"/>
      <c r="L63" s="30">
        <f t="shared" si="19"/>
        <v>29.373828790498472</v>
      </c>
      <c r="M63" s="5">
        <f>N(117144)</f>
        <v>117144</v>
      </c>
      <c r="N63" s="30">
        <f>N(207000)</f>
        <v>207000</v>
      </c>
      <c r="O63" s="30">
        <f t="shared" si="20"/>
        <v>89856</v>
      </c>
      <c r="P63" s="30"/>
      <c r="Q63" s="30">
        <f t="shared" si="21"/>
        <v>43.408695652173911</v>
      </c>
      <c r="R63" s="32">
        <f>N(165864.86)</f>
        <v>165864.85999999999</v>
      </c>
      <c r="S63" s="33">
        <f t="shared" si="22"/>
        <v>48720.859999999986</v>
      </c>
      <c r="T63" s="34"/>
      <c r="U63" s="34">
        <f t="shared" si="23"/>
        <v>29.373828790498472</v>
      </c>
    </row>
    <row r="64" spans="1:21" hidden="1" outlineLevel="2">
      <c r="A64" s="22"/>
      <c r="B64" s="28">
        <v>5110</v>
      </c>
      <c r="C64" s="29" t="s">
        <v>94</v>
      </c>
      <c r="D64" s="5">
        <f t="shared" ref="D64:E68" si="26">N(0)</f>
        <v>0</v>
      </c>
      <c r="E64" s="30">
        <f t="shared" si="26"/>
        <v>0</v>
      </c>
      <c r="F64" s="30">
        <f t="shared" si="16"/>
        <v>0</v>
      </c>
      <c r="G64" s="30"/>
      <c r="H64" s="31">
        <f t="shared" si="17"/>
        <v>0</v>
      </c>
      <c r="I64" s="32">
        <f>N(0)</f>
        <v>0</v>
      </c>
      <c r="J64" s="30">
        <f t="shared" si="18"/>
        <v>0</v>
      </c>
      <c r="K64" s="30"/>
      <c r="L64" s="30">
        <f t="shared" si="19"/>
        <v>0</v>
      </c>
      <c r="M64" s="5">
        <f t="shared" ref="M64:N68" si="27">N(0)</f>
        <v>0</v>
      </c>
      <c r="N64" s="30">
        <f t="shared" si="27"/>
        <v>0</v>
      </c>
      <c r="O64" s="30">
        <f t="shared" si="20"/>
        <v>0</v>
      </c>
      <c r="P64" s="30"/>
      <c r="Q64" s="30">
        <f t="shared" si="21"/>
        <v>0</v>
      </c>
      <c r="R64" s="32">
        <f>N(0)</f>
        <v>0</v>
      </c>
      <c r="S64" s="33">
        <f t="shared" si="22"/>
        <v>0</v>
      </c>
      <c r="T64" s="34"/>
      <c r="U64" s="34">
        <f t="shared" si="23"/>
        <v>0</v>
      </c>
    </row>
    <row r="65" spans="1:21" hidden="1" outlineLevel="2">
      <c r="A65" s="22"/>
      <c r="B65" s="28">
        <v>5111</v>
      </c>
      <c r="C65" s="29" t="s">
        <v>95</v>
      </c>
      <c r="D65" s="5">
        <f>N(34342)</f>
        <v>34342</v>
      </c>
      <c r="E65" s="30">
        <f t="shared" si="26"/>
        <v>0</v>
      </c>
      <c r="F65" s="30">
        <f t="shared" si="16"/>
        <v>-34342</v>
      </c>
      <c r="G65" s="30"/>
      <c r="H65" s="31">
        <f t="shared" si="17"/>
        <v>0</v>
      </c>
      <c r="I65" s="32">
        <f>N(37070)</f>
        <v>37070</v>
      </c>
      <c r="J65" s="30">
        <f t="shared" si="18"/>
        <v>2728</v>
      </c>
      <c r="K65" s="30"/>
      <c r="L65" s="30">
        <f t="shared" si="19"/>
        <v>7.3590504451038576</v>
      </c>
      <c r="M65" s="5">
        <f>N(34342)</f>
        <v>34342</v>
      </c>
      <c r="N65" s="30">
        <f t="shared" si="27"/>
        <v>0</v>
      </c>
      <c r="O65" s="30">
        <f t="shared" si="20"/>
        <v>-34342</v>
      </c>
      <c r="P65" s="30"/>
      <c r="Q65" s="30">
        <f t="shared" si="21"/>
        <v>0</v>
      </c>
      <c r="R65" s="32">
        <f>N(37070)</f>
        <v>37070</v>
      </c>
      <c r="S65" s="33">
        <f t="shared" si="22"/>
        <v>2728</v>
      </c>
      <c r="T65" s="34"/>
      <c r="U65" s="34">
        <f t="shared" si="23"/>
        <v>7.3590504451038576</v>
      </c>
    </row>
    <row r="66" spans="1:21" hidden="1" outlineLevel="2">
      <c r="A66" s="22"/>
      <c r="B66" s="28">
        <v>5113</v>
      </c>
      <c r="C66" s="29" t="s">
        <v>97</v>
      </c>
      <c r="D66" s="5">
        <f>N(0)</f>
        <v>0</v>
      </c>
      <c r="E66" s="30">
        <f t="shared" si="26"/>
        <v>0</v>
      </c>
      <c r="F66" s="30">
        <f t="shared" si="16"/>
        <v>0</v>
      </c>
      <c r="G66" s="30"/>
      <c r="H66" s="31">
        <f t="shared" si="17"/>
        <v>0</v>
      </c>
      <c r="I66" s="32">
        <f>N(0)</f>
        <v>0</v>
      </c>
      <c r="J66" s="30">
        <f t="shared" si="18"/>
        <v>0</v>
      </c>
      <c r="K66" s="30"/>
      <c r="L66" s="30">
        <f t="shared" si="19"/>
        <v>0</v>
      </c>
      <c r="M66" s="5">
        <f>N(0)</f>
        <v>0</v>
      </c>
      <c r="N66" s="30">
        <f t="shared" si="27"/>
        <v>0</v>
      </c>
      <c r="O66" s="30">
        <f t="shared" si="20"/>
        <v>0</v>
      </c>
      <c r="P66" s="30"/>
      <c r="Q66" s="30">
        <f t="shared" si="21"/>
        <v>0</v>
      </c>
      <c r="R66" s="32">
        <f>N(0)</f>
        <v>0</v>
      </c>
      <c r="S66" s="33">
        <f t="shared" si="22"/>
        <v>0</v>
      </c>
      <c r="T66" s="34"/>
      <c r="U66" s="34">
        <f t="shared" si="23"/>
        <v>0</v>
      </c>
    </row>
    <row r="67" spans="1:21" hidden="1" outlineLevel="2">
      <c r="A67" s="22"/>
      <c r="B67" s="28">
        <v>5114</v>
      </c>
      <c r="C67" s="29" t="s">
        <v>98</v>
      </c>
      <c r="D67" s="5">
        <f>N(0)</f>
        <v>0</v>
      </c>
      <c r="E67" s="30">
        <f t="shared" si="26"/>
        <v>0</v>
      </c>
      <c r="F67" s="30">
        <f t="shared" si="16"/>
        <v>0</v>
      </c>
      <c r="G67" s="30"/>
      <c r="H67" s="31">
        <f t="shared" si="17"/>
        <v>0</v>
      </c>
      <c r="I67" s="32">
        <f>N(33065)</f>
        <v>33065</v>
      </c>
      <c r="J67" s="30">
        <f t="shared" si="18"/>
        <v>33065</v>
      </c>
      <c r="K67" s="30"/>
      <c r="L67" s="30">
        <f t="shared" si="19"/>
        <v>100</v>
      </c>
      <c r="M67" s="5">
        <f>N(0)</f>
        <v>0</v>
      </c>
      <c r="N67" s="30">
        <f t="shared" si="27"/>
        <v>0</v>
      </c>
      <c r="O67" s="30">
        <f t="shared" si="20"/>
        <v>0</v>
      </c>
      <c r="P67" s="30"/>
      <c r="Q67" s="30">
        <f t="shared" si="21"/>
        <v>0</v>
      </c>
      <c r="R67" s="32">
        <f>N(33065)</f>
        <v>33065</v>
      </c>
      <c r="S67" s="33">
        <f t="shared" si="22"/>
        <v>33065</v>
      </c>
      <c r="T67" s="34"/>
      <c r="U67" s="34">
        <f t="shared" si="23"/>
        <v>100</v>
      </c>
    </row>
    <row r="68" spans="1:21" hidden="1" outlineLevel="2">
      <c r="A68" s="22"/>
      <c r="B68" s="28">
        <v>5190</v>
      </c>
      <c r="C68" s="29" t="s">
        <v>99</v>
      </c>
      <c r="D68" s="5">
        <f>N(534111)</f>
        <v>534111</v>
      </c>
      <c r="E68" s="30">
        <f t="shared" si="26"/>
        <v>0</v>
      </c>
      <c r="F68" s="30">
        <f t="shared" si="16"/>
        <v>-534111</v>
      </c>
      <c r="G68" s="30"/>
      <c r="H68" s="31">
        <f t="shared" si="17"/>
        <v>0</v>
      </c>
      <c r="I68" s="32">
        <f>N(726574)</f>
        <v>726574</v>
      </c>
      <c r="J68" s="30">
        <f t="shared" si="18"/>
        <v>192463</v>
      </c>
      <c r="K68" s="30"/>
      <c r="L68" s="30">
        <f t="shared" si="19"/>
        <v>26.489111914271636</v>
      </c>
      <c r="M68" s="5">
        <f>N(534111)</f>
        <v>534111</v>
      </c>
      <c r="N68" s="30">
        <f t="shared" si="27"/>
        <v>0</v>
      </c>
      <c r="O68" s="30">
        <f t="shared" si="20"/>
        <v>-534111</v>
      </c>
      <c r="P68" s="30"/>
      <c r="Q68" s="30">
        <f t="shared" si="21"/>
        <v>0</v>
      </c>
      <c r="R68" s="32">
        <f>N(726574)</f>
        <v>726574</v>
      </c>
      <c r="S68" s="33">
        <f t="shared" si="22"/>
        <v>192463</v>
      </c>
      <c r="T68" s="34"/>
      <c r="U68" s="34">
        <f t="shared" si="23"/>
        <v>26.489111914271636</v>
      </c>
    </row>
    <row r="69" spans="1:21" hidden="1" outlineLevel="1">
      <c r="A69" s="22"/>
      <c r="B69" s="35" t="str">
        <f>"    "&amp;"Lønn til ansatte"</f>
        <v xml:space="preserve">    Lønn til ansatte</v>
      </c>
      <c r="C69" s="36"/>
      <c r="D69" s="37">
        <f>SUM(D55:D68)</f>
        <v>14064332.109999999</v>
      </c>
      <c r="E69" s="33">
        <f>SUM(E55:E68)</f>
        <v>14516064.437125999</v>
      </c>
      <c r="F69" s="33">
        <f t="shared" si="16"/>
        <v>451732.32712600008</v>
      </c>
      <c r="G69" s="33"/>
      <c r="H69" s="38">
        <f t="shared" si="17"/>
        <v>3.1119476569052589</v>
      </c>
      <c r="I69" s="39">
        <f>SUM(I55:I68)</f>
        <v>13910772.509999998</v>
      </c>
      <c r="J69" s="33">
        <f t="shared" si="18"/>
        <v>-153559.60000000149</v>
      </c>
      <c r="K69" s="33"/>
      <c r="L69" s="33">
        <f t="shared" si="19"/>
        <v>-1.103889808345385</v>
      </c>
      <c r="M69" s="37">
        <f>SUM(M55:M68)</f>
        <v>14064332.109999999</v>
      </c>
      <c r="N69" s="33">
        <f>SUM(N55:N68)</f>
        <v>14516064.437125999</v>
      </c>
      <c r="O69" s="33">
        <f t="shared" si="20"/>
        <v>451732.32712600008</v>
      </c>
      <c r="P69" s="33"/>
      <c r="Q69" s="33">
        <f t="shared" si="21"/>
        <v>3.1119476569052589</v>
      </c>
      <c r="R69" s="39">
        <f>SUM(R55:R68)</f>
        <v>13910772.509999998</v>
      </c>
      <c r="S69" s="33">
        <f t="shared" si="22"/>
        <v>-153559.60000000149</v>
      </c>
      <c r="T69" s="34"/>
      <c r="U69" s="34">
        <f t="shared" si="23"/>
        <v>-1.103889808345385</v>
      </c>
    </row>
    <row r="70" spans="1:21" hidden="1" outlineLevel="2">
      <c r="A70" s="22"/>
      <c r="B70" s="28">
        <v>5210</v>
      </c>
      <c r="C70" s="29" t="s">
        <v>100</v>
      </c>
      <c r="D70" s="5">
        <f>N(49107)</f>
        <v>49107</v>
      </c>
      <c r="E70" s="30">
        <f>N(39528)</f>
        <v>39528</v>
      </c>
      <c r="F70" s="30">
        <f t="shared" si="16"/>
        <v>-9579</v>
      </c>
      <c r="G70" s="30"/>
      <c r="H70" s="31">
        <f t="shared" si="17"/>
        <v>-24.23345476624165</v>
      </c>
      <c r="I70" s="32">
        <f>N(36671.42)</f>
        <v>36671.42</v>
      </c>
      <c r="J70" s="30">
        <f t="shared" si="18"/>
        <v>-12435.580000000002</v>
      </c>
      <c r="K70" s="30"/>
      <c r="L70" s="30">
        <f t="shared" si="19"/>
        <v>-33.91082210615243</v>
      </c>
      <c r="M70" s="5">
        <f>N(49107)</f>
        <v>49107</v>
      </c>
      <c r="N70" s="30">
        <f>N(39528)</f>
        <v>39528</v>
      </c>
      <c r="O70" s="30">
        <f t="shared" si="20"/>
        <v>-9579</v>
      </c>
      <c r="P70" s="30"/>
      <c r="Q70" s="30">
        <f t="shared" si="21"/>
        <v>-24.23345476624165</v>
      </c>
      <c r="R70" s="32">
        <f>N(36671.42)</f>
        <v>36671.42</v>
      </c>
      <c r="S70" s="33">
        <f t="shared" si="22"/>
        <v>-12435.580000000002</v>
      </c>
      <c r="T70" s="34"/>
      <c r="U70" s="34">
        <f t="shared" si="23"/>
        <v>-33.91082210615243</v>
      </c>
    </row>
    <row r="71" spans="1:21" hidden="1" outlineLevel="2">
      <c r="A71" s="22"/>
      <c r="B71" s="28">
        <v>5220</v>
      </c>
      <c r="C71" s="29" t="s">
        <v>101</v>
      </c>
      <c r="D71" s="5">
        <f t="shared" ref="D71:D76" si="28">N(0)</f>
        <v>0</v>
      </c>
      <c r="E71" s="30">
        <f>N(0)</f>
        <v>0</v>
      </c>
      <c r="F71" s="30">
        <f t="shared" si="16"/>
        <v>0</v>
      </c>
      <c r="G71" s="30"/>
      <c r="H71" s="31">
        <f t="shared" si="17"/>
        <v>0</v>
      </c>
      <c r="I71" s="32">
        <f>N(0)</f>
        <v>0</v>
      </c>
      <c r="J71" s="30">
        <f t="shared" si="18"/>
        <v>0</v>
      </c>
      <c r="K71" s="30"/>
      <c r="L71" s="30">
        <f t="shared" si="19"/>
        <v>0</v>
      </c>
      <c r="M71" s="5">
        <f t="shared" ref="M71:M76" si="29">N(0)</f>
        <v>0</v>
      </c>
      <c r="N71" s="30">
        <f>N(0)</f>
        <v>0</v>
      </c>
      <c r="O71" s="30">
        <f t="shared" si="20"/>
        <v>0</v>
      </c>
      <c r="P71" s="30"/>
      <c r="Q71" s="30">
        <f t="shared" si="21"/>
        <v>0</v>
      </c>
      <c r="R71" s="32">
        <f>N(0)</f>
        <v>0</v>
      </c>
      <c r="S71" s="33">
        <f t="shared" si="22"/>
        <v>0</v>
      </c>
      <c r="T71" s="34"/>
      <c r="U71" s="34">
        <f t="shared" si="23"/>
        <v>0</v>
      </c>
    </row>
    <row r="72" spans="1:21" hidden="1" outlineLevel="2">
      <c r="A72" s="22"/>
      <c r="B72" s="28">
        <v>5250</v>
      </c>
      <c r="C72" s="29" t="s">
        <v>102</v>
      </c>
      <c r="D72" s="5">
        <f t="shared" si="28"/>
        <v>0</v>
      </c>
      <c r="E72" s="30">
        <f>N(2565)</f>
        <v>2565</v>
      </c>
      <c r="F72" s="30">
        <f t="shared" si="16"/>
        <v>2565</v>
      </c>
      <c r="G72" s="30"/>
      <c r="H72" s="31">
        <f t="shared" si="17"/>
        <v>100</v>
      </c>
      <c r="I72" s="32">
        <f>N(844.1)</f>
        <v>844.1</v>
      </c>
      <c r="J72" s="30">
        <f t="shared" si="18"/>
        <v>844.1</v>
      </c>
      <c r="K72" s="30"/>
      <c r="L72" s="30">
        <f t="shared" si="19"/>
        <v>100</v>
      </c>
      <c r="M72" s="5">
        <f t="shared" si="29"/>
        <v>0</v>
      </c>
      <c r="N72" s="30">
        <f>N(2565)</f>
        <v>2565</v>
      </c>
      <c r="O72" s="30">
        <f t="shared" si="20"/>
        <v>2565</v>
      </c>
      <c r="P72" s="30"/>
      <c r="Q72" s="30">
        <f t="shared" si="21"/>
        <v>100</v>
      </c>
      <c r="R72" s="32">
        <f>N(844.1)</f>
        <v>844.1</v>
      </c>
      <c r="S72" s="33">
        <f t="shared" si="22"/>
        <v>844.1</v>
      </c>
      <c r="T72" s="34"/>
      <c r="U72" s="34">
        <f t="shared" si="23"/>
        <v>100</v>
      </c>
    </row>
    <row r="73" spans="1:21" hidden="1" outlineLevel="2">
      <c r="A73" s="22"/>
      <c r="B73" s="28">
        <v>5251</v>
      </c>
      <c r="C73" s="29" t="s">
        <v>103</v>
      </c>
      <c r="D73" s="5">
        <f t="shared" si="28"/>
        <v>0</v>
      </c>
      <c r="E73" s="30">
        <f>N(48672)</f>
        <v>48672</v>
      </c>
      <c r="F73" s="30">
        <f t="shared" si="16"/>
        <v>48672</v>
      </c>
      <c r="G73" s="30"/>
      <c r="H73" s="31">
        <f t="shared" si="17"/>
        <v>100</v>
      </c>
      <c r="I73" s="32">
        <f>N(11201.18)</f>
        <v>11201.18</v>
      </c>
      <c r="J73" s="30">
        <f t="shared" si="18"/>
        <v>11201.18</v>
      </c>
      <c r="K73" s="30"/>
      <c r="L73" s="30">
        <f t="shared" si="19"/>
        <v>100</v>
      </c>
      <c r="M73" s="5">
        <f t="shared" si="29"/>
        <v>0</v>
      </c>
      <c r="N73" s="30">
        <f>N(48672)</f>
        <v>48672</v>
      </c>
      <c r="O73" s="30">
        <f t="shared" si="20"/>
        <v>48672</v>
      </c>
      <c r="P73" s="30"/>
      <c r="Q73" s="30">
        <f t="shared" si="21"/>
        <v>100</v>
      </c>
      <c r="R73" s="32">
        <f>N(11201.18)</f>
        <v>11201.18</v>
      </c>
      <c r="S73" s="33">
        <f t="shared" si="22"/>
        <v>11201.18</v>
      </c>
      <c r="T73" s="34"/>
      <c r="U73" s="34">
        <f t="shared" si="23"/>
        <v>100</v>
      </c>
    </row>
    <row r="74" spans="1:21" hidden="1" outlineLevel="2">
      <c r="A74" s="22"/>
      <c r="B74" s="28">
        <v>5252</v>
      </c>
      <c r="C74" s="29" t="s">
        <v>104</v>
      </c>
      <c r="D74" s="5">
        <f t="shared" si="28"/>
        <v>0</v>
      </c>
      <c r="E74" s="30">
        <f>N(18088)</f>
        <v>18088</v>
      </c>
      <c r="F74" s="30">
        <f t="shared" si="16"/>
        <v>18088</v>
      </c>
      <c r="G74" s="30"/>
      <c r="H74" s="31">
        <f t="shared" si="17"/>
        <v>100</v>
      </c>
      <c r="I74" s="32">
        <f>N(6029.84)</f>
        <v>6029.84</v>
      </c>
      <c r="J74" s="30">
        <f t="shared" si="18"/>
        <v>6029.84</v>
      </c>
      <c r="K74" s="30"/>
      <c r="L74" s="30">
        <f t="shared" si="19"/>
        <v>100</v>
      </c>
      <c r="M74" s="5">
        <f t="shared" si="29"/>
        <v>0</v>
      </c>
      <c r="N74" s="30">
        <f>N(18088)</f>
        <v>18088</v>
      </c>
      <c r="O74" s="30">
        <f t="shared" si="20"/>
        <v>18088</v>
      </c>
      <c r="P74" s="30"/>
      <c r="Q74" s="30">
        <f t="shared" si="21"/>
        <v>100</v>
      </c>
      <c r="R74" s="32">
        <f>N(6029.84)</f>
        <v>6029.84</v>
      </c>
      <c r="S74" s="33">
        <f t="shared" si="22"/>
        <v>6029.84</v>
      </c>
      <c r="T74" s="34"/>
      <c r="U74" s="34">
        <f t="shared" si="23"/>
        <v>100</v>
      </c>
    </row>
    <row r="75" spans="1:21" hidden="1" outlineLevel="2">
      <c r="A75" s="22"/>
      <c r="B75" s="28">
        <v>5253</v>
      </c>
      <c r="C75" s="29" t="s">
        <v>105</v>
      </c>
      <c r="D75" s="5">
        <f t="shared" si="28"/>
        <v>0</v>
      </c>
      <c r="E75" s="30">
        <f>N(74138)</f>
        <v>74138</v>
      </c>
      <c r="F75" s="30">
        <f t="shared" si="16"/>
        <v>74138</v>
      </c>
      <c r="G75" s="30"/>
      <c r="H75" s="31">
        <f t="shared" si="17"/>
        <v>100</v>
      </c>
      <c r="I75" s="32">
        <f>N(24712.16)</f>
        <v>24712.16</v>
      </c>
      <c r="J75" s="30">
        <f t="shared" si="18"/>
        <v>24712.16</v>
      </c>
      <c r="K75" s="30"/>
      <c r="L75" s="30">
        <f t="shared" si="19"/>
        <v>100</v>
      </c>
      <c r="M75" s="5">
        <f t="shared" si="29"/>
        <v>0</v>
      </c>
      <c r="N75" s="30">
        <f>N(74138)</f>
        <v>74138</v>
      </c>
      <c r="O75" s="30">
        <f t="shared" si="20"/>
        <v>74138</v>
      </c>
      <c r="P75" s="30"/>
      <c r="Q75" s="30">
        <f t="shared" si="21"/>
        <v>100</v>
      </c>
      <c r="R75" s="32">
        <f>N(24712.16)</f>
        <v>24712.16</v>
      </c>
      <c r="S75" s="33">
        <f t="shared" si="22"/>
        <v>24712.16</v>
      </c>
      <c r="T75" s="34"/>
      <c r="U75" s="34">
        <f t="shared" si="23"/>
        <v>100</v>
      </c>
    </row>
    <row r="76" spans="1:21" hidden="1" outlineLevel="2">
      <c r="A76" s="22"/>
      <c r="B76" s="28">
        <v>5254</v>
      </c>
      <c r="C76" s="29" t="s">
        <v>106</v>
      </c>
      <c r="D76" s="5">
        <f t="shared" si="28"/>
        <v>0</v>
      </c>
      <c r="E76" s="30">
        <f>N(21888)</f>
        <v>21888</v>
      </c>
      <c r="F76" s="30">
        <f t="shared" si="16"/>
        <v>21888</v>
      </c>
      <c r="G76" s="30"/>
      <c r="H76" s="31">
        <f t="shared" si="17"/>
        <v>100</v>
      </c>
      <c r="I76" s="32">
        <f>N(6720)</f>
        <v>6720</v>
      </c>
      <c r="J76" s="30">
        <f t="shared" si="18"/>
        <v>6720</v>
      </c>
      <c r="K76" s="30"/>
      <c r="L76" s="30">
        <f t="shared" si="19"/>
        <v>100</v>
      </c>
      <c r="M76" s="5">
        <f t="shared" si="29"/>
        <v>0</v>
      </c>
      <c r="N76" s="30">
        <f>N(21888)</f>
        <v>21888</v>
      </c>
      <c r="O76" s="30">
        <f t="shared" si="20"/>
        <v>21888</v>
      </c>
      <c r="P76" s="30"/>
      <c r="Q76" s="30">
        <f t="shared" si="21"/>
        <v>100</v>
      </c>
      <c r="R76" s="32">
        <f>N(6720)</f>
        <v>6720</v>
      </c>
      <c r="S76" s="33">
        <f t="shared" si="22"/>
        <v>6720</v>
      </c>
      <c r="T76" s="34"/>
      <c r="U76" s="34">
        <f t="shared" si="23"/>
        <v>100</v>
      </c>
    </row>
    <row r="77" spans="1:21" hidden="1" outlineLevel="2">
      <c r="A77" s="22"/>
      <c r="B77" s="28">
        <v>5281</v>
      </c>
      <c r="C77" s="29" t="s">
        <v>107</v>
      </c>
      <c r="D77" s="5">
        <f>N(3275.25)</f>
        <v>3275.25</v>
      </c>
      <c r="E77" s="30">
        <f>N(0)</f>
        <v>0</v>
      </c>
      <c r="F77" s="30">
        <f t="shared" si="16"/>
        <v>-3275.25</v>
      </c>
      <c r="G77" s="30"/>
      <c r="H77" s="31">
        <f t="shared" si="17"/>
        <v>0</v>
      </c>
      <c r="I77" s="32">
        <f>N(0)</f>
        <v>0</v>
      </c>
      <c r="J77" s="30">
        <f t="shared" si="18"/>
        <v>-3275.25</v>
      </c>
      <c r="K77" s="30"/>
      <c r="L77" s="30">
        <f t="shared" si="19"/>
        <v>0</v>
      </c>
      <c r="M77" s="5">
        <f>N(3275.25)</f>
        <v>3275.25</v>
      </c>
      <c r="N77" s="30">
        <f>N(0)</f>
        <v>0</v>
      </c>
      <c r="O77" s="30">
        <f t="shared" si="20"/>
        <v>-3275.25</v>
      </c>
      <c r="P77" s="30"/>
      <c r="Q77" s="30">
        <f t="shared" si="21"/>
        <v>0</v>
      </c>
      <c r="R77" s="32">
        <f>N(0)</f>
        <v>0</v>
      </c>
      <c r="S77" s="33">
        <f t="shared" si="22"/>
        <v>-3275.25</v>
      </c>
      <c r="T77" s="34"/>
      <c r="U77" s="34">
        <f t="shared" si="23"/>
        <v>0</v>
      </c>
    </row>
    <row r="78" spans="1:21" hidden="1" outlineLevel="2">
      <c r="A78" s="22"/>
      <c r="B78" s="28">
        <v>5286</v>
      </c>
      <c r="C78" s="29" t="s">
        <v>109</v>
      </c>
      <c r="D78" s="5">
        <f>N(0)</f>
        <v>0</v>
      </c>
      <c r="E78" s="30">
        <f>N(0)</f>
        <v>0</v>
      </c>
      <c r="F78" s="30">
        <f t="shared" si="16"/>
        <v>0</v>
      </c>
      <c r="G78" s="30"/>
      <c r="H78" s="31">
        <f t="shared" si="17"/>
        <v>0</v>
      </c>
      <c r="I78" s="32">
        <f>N(0)</f>
        <v>0</v>
      </c>
      <c r="J78" s="30">
        <f t="shared" si="18"/>
        <v>0</v>
      </c>
      <c r="K78" s="30"/>
      <c r="L78" s="30">
        <f t="shared" si="19"/>
        <v>0</v>
      </c>
      <c r="M78" s="5">
        <f>N(0)</f>
        <v>0</v>
      </c>
      <c r="N78" s="30">
        <f>N(0)</f>
        <v>0</v>
      </c>
      <c r="O78" s="30">
        <f t="shared" si="20"/>
        <v>0</v>
      </c>
      <c r="P78" s="30"/>
      <c r="Q78" s="30">
        <f t="shared" si="21"/>
        <v>0</v>
      </c>
      <c r="R78" s="32">
        <f>N(0)</f>
        <v>0</v>
      </c>
      <c r="S78" s="33">
        <f t="shared" si="22"/>
        <v>0</v>
      </c>
      <c r="T78" s="34"/>
      <c r="U78" s="34">
        <f t="shared" si="23"/>
        <v>0</v>
      </c>
    </row>
    <row r="79" spans="1:21" hidden="1" outlineLevel="2">
      <c r="A79" s="22"/>
      <c r="B79" s="28">
        <v>5290</v>
      </c>
      <c r="C79" s="29" t="s">
        <v>110</v>
      </c>
      <c r="D79" s="5">
        <f>N(-52382.25)</f>
        <v>-52382.25</v>
      </c>
      <c r="E79" s="30">
        <f>N(-204879)</f>
        <v>-204879</v>
      </c>
      <c r="F79" s="30">
        <f t="shared" si="16"/>
        <v>-152496.75</v>
      </c>
      <c r="G79" s="30"/>
      <c r="H79" s="31">
        <f t="shared" si="17"/>
        <v>74.432591920108948</v>
      </c>
      <c r="I79" s="32">
        <f>N(-292077.17)</f>
        <v>-292077.17</v>
      </c>
      <c r="J79" s="30">
        <f t="shared" si="18"/>
        <v>-239694.91999999998</v>
      </c>
      <c r="K79" s="30"/>
      <c r="L79" s="30">
        <f t="shared" si="19"/>
        <v>82.065613002207613</v>
      </c>
      <c r="M79" s="5">
        <f>N(-52382.25)</f>
        <v>-52382.25</v>
      </c>
      <c r="N79" s="30">
        <f>N(-204879)</f>
        <v>-204879</v>
      </c>
      <c r="O79" s="30">
        <f t="shared" si="20"/>
        <v>-152496.75</v>
      </c>
      <c r="P79" s="30"/>
      <c r="Q79" s="30">
        <f t="shared" si="21"/>
        <v>74.432591920108948</v>
      </c>
      <c r="R79" s="32">
        <f>N(-292077.17)</f>
        <v>-292077.17</v>
      </c>
      <c r="S79" s="33">
        <f t="shared" si="22"/>
        <v>-239694.91999999998</v>
      </c>
      <c r="T79" s="34"/>
      <c r="U79" s="34">
        <f t="shared" si="23"/>
        <v>82.065613002207613</v>
      </c>
    </row>
    <row r="80" spans="1:21" hidden="1" outlineLevel="2">
      <c r="A80" s="22"/>
      <c r="B80" s="28">
        <v>5420</v>
      </c>
      <c r="C80" s="29" t="s">
        <v>111</v>
      </c>
      <c r="D80" s="5">
        <f>N(849490.04)</f>
        <v>849490.04</v>
      </c>
      <c r="E80" s="30">
        <f>N(1231994)</f>
        <v>1231994</v>
      </c>
      <c r="F80" s="30">
        <f t="shared" si="16"/>
        <v>382503.95999999996</v>
      </c>
      <c r="G80" s="30"/>
      <c r="H80" s="31">
        <f t="shared" si="17"/>
        <v>31.047550556252709</v>
      </c>
      <c r="I80" s="32">
        <f>N(631038.68)</f>
        <v>631038.68000000005</v>
      </c>
      <c r="J80" s="30">
        <f t="shared" si="18"/>
        <v>-218451.36</v>
      </c>
      <c r="K80" s="30"/>
      <c r="L80" s="30">
        <f t="shared" si="19"/>
        <v>-34.617744826672109</v>
      </c>
      <c r="M80" s="5">
        <f>N(849490.04)</f>
        <v>849490.04</v>
      </c>
      <c r="N80" s="30">
        <f>N(1231994)</f>
        <v>1231994</v>
      </c>
      <c r="O80" s="30">
        <f t="shared" si="20"/>
        <v>382503.95999999996</v>
      </c>
      <c r="P80" s="30"/>
      <c r="Q80" s="30">
        <f t="shared" si="21"/>
        <v>31.047550556252709</v>
      </c>
      <c r="R80" s="32">
        <f>N(631038.68)</f>
        <v>631038.68000000005</v>
      </c>
      <c r="S80" s="33">
        <f t="shared" si="22"/>
        <v>-218451.36</v>
      </c>
      <c r="T80" s="34"/>
      <c r="U80" s="34">
        <f t="shared" si="23"/>
        <v>-34.617744826672109</v>
      </c>
    </row>
    <row r="81" spans="1:21" hidden="1" outlineLevel="2">
      <c r="A81" s="22"/>
      <c r="B81" s="28">
        <v>5490</v>
      </c>
      <c r="C81" s="29" t="s">
        <v>112</v>
      </c>
      <c r="D81" s="5">
        <f>N(-849490.04)</f>
        <v>-849490.04</v>
      </c>
      <c r="E81" s="30">
        <f>N(-1231994)</f>
        <v>-1231994</v>
      </c>
      <c r="F81" s="30">
        <f t="shared" si="16"/>
        <v>-382503.95999999996</v>
      </c>
      <c r="G81" s="30"/>
      <c r="H81" s="31">
        <f t="shared" si="17"/>
        <v>31.047550556252709</v>
      </c>
      <c r="I81" s="32">
        <f>N(-425140.21)</f>
        <v>-425140.21</v>
      </c>
      <c r="J81" s="30">
        <f t="shared" si="18"/>
        <v>424349.83</v>
      </c>
      <c r="K81" s="30"/>
      <c r="L81" s="30">
        <f t="shared" si="19"/>
        <v>-99.81408956823914</v>
      </c>
      <c r="M81" s="5">
        <f>N(-849490.04)</f>
        <v>-849490.04</v>
      </c>
      <c r="N81" s="30">
        <f>N(-1231994)</f>
        <v>-1231994</v>
      </c>
      <c r="O81" s="30">
        <f t="shared" si="20"/>
        <v>-382503.95999999996</v>
      </c>
      <c r="P81" s="30"/>
      <c r="Q81" s="30">
        <f t="shared" si="21"/>
        <v>31.047550556252709</v>
      </c>
      <c r="R81" s="32">
        <f>N(-425140.21)</f>
        <v>-425140.21</v>
      </c>
      <c r="S81" s="33">
        <f t="shared" si="22"/>
        <v>424349.83</v>
      </c>
      <c r="T81" s="34"/>
      <c r="U81" s="34">
        <f t="shared" si="23"/>
        <v>-99.81408956823914</v>
      </c>
    </row>
    <row r="82" spans="1:21" hidden="1" outlineLevel="1">
      <c r="A82" s="22"/>
      <c r="B82" s="35" t="str">
        <f>"    "&amp;"Fordel i arbeidsforhold"</f>
        <v xml:space="preserve">    Fordel i arbeidsforhold</v>
      </c>
      <c r="C82" s="36"/>
      <c r="D82" s="37">
        <f>SUM(D70:D81)</f>
        <v>0</v>
      </c>
      <c r="E82" s="33">
        <f>SUM(E70:E81)</f>
        <v>0</v>
      </c>
      <c r="F82" s="33">
        <f t="shared" si="16"/>
        <v>0</v>
      </c>
      <c r="G82" s="33"/>
      <c r="H82" s="38">
        <f t="shared" si="17"/>
        <v>0</v>
      </c>
      <c r="I82" s="39">
        <f>SUM(I70:I81)</f>
        <v>0</v>
      </c>
      <c r="J82" s="33">
        <f t="shared" si="18"/>
        <v>0</v>
      </c>
      <c r="K82" s="33"/>
      <c r="L82" s="33">
        <f t="shared" si="19"/>
        <v>0</v>
      </c>
      <c r="M82" s="37">
        <f>SUM(M70:M81)</f>
        <v>0</v>
      </c>
      <c r="N82" s="33">
        <f>SUM(N70:N81)</f>
        <v>0</v>
      </c>
      <c r="O82" s="33">
        <f t="shared" si="20"/>
        <v>0</v>
      </c>
      <c r="P82" s="33"/>
      <c r="Q82" s="33">
        <f t="shared" si="21"/>
        <v>0</v>
      </c>
      <c r="R82" s="39">
        <f>SUM(R70:R81)</f>
        <v>0</v>
      </c>
      <c r="S82" s="33">
        <f t="shared" si="22"/>
        <v>0</v>
      </c>
      <c r="T82" s="34"/>
      <c r="U82" s="34">
        <f t="shared" si="23"/>
        <v>0</v>
      </c>
    </row>
    <row r="83" spans="1:21" hidden="1" outlineLevel="2">
      <c r="A83" s="22"/>
      <c r="B83" s="28">
        <v>5312</v>
      </c>
      <c r="C83" s="29" t="s">
        <v>113</v>
      </c>
      <c r="D83" s="5">
        <f>N(132636.95)</f>
        <v>132636.95000000001</v>
      </c>
      <c r="E83" s="30">
        <f>N(231512)</f>
        <v>231512</v>
      </c>
      <c r="F83" s="30">
        <f t="shared" si="16"/>
        <v>98875.049999999988</v>
      </c>
      <c r="G83" s="30"/>
      <c r="H83" s="31">
        <f t="shared" si="17"/>
        <v>42.708390925740339</v>
      </c>
      <c r="I83" s="32">
        <f>N(197660.58)</f>
        <v>197660.58</v>
      </c>
      <c r="J83" s="30">
        <f t="shared" si="18"/>
        <v>65023.629999999976</v>
      </c>
      <c r="K83" s="30"/>
      <c r="L83" s="30">
        <f t="shared" si="19"/>
        <v>32.896609936083351</v>
      </c>
      <c r="M83" s="5">
        <f>N(132636.95)</f>
        <v>132636.95000000001</v>
      </c>
      <c r="N83" s="30">
        <f>N(231512)</f>
        <v>231512</v>
      </c>
      <c r="O83" s="30">
        <f t="shared" si="20"/>
        <v>98875.049999999988</v>
      </c>
      <c r="P83" s="30"/>
      <c r="Q83" s="30">
        <f t="shared" si="21"/>
        <v>42.708390925740339</v>
      </c>
      <c r="R83" s="32">
        <f>N(197660.58)</f>
        <v>197660.58</v>
      </c>
      <c r="S83" s="33">
        <f t="shared" si="22"/>
        <v>65023.629999999976</v>
      </c>
      <c r="T83" s="34"/>
      <c r="U83" s="34">
        <f t="shared" si="23"/>
        <v>32.896609936083351</v>
      </c>
    </row>
    <row r="84" spans="1:21" hidden="1" outlineLevel="2">
      <c r="A84" s="22"/>
      <c r="B84" s="28">
        <v>5326</v>
      </c>
      <c r="C84" s="29" t="s">
        <v>114</v>
      </c>
      <c r="D84" s="5">
        <f>N(135993)</f>
        <v>135993</v>
      </c>
      <c r="E84" s="30">
        <f>N(120000)</f>
        <v>120000</v>
      </c>
      <c r="F84" s="30">
        <f t="shared" si="16"/>
        <v>-15993</v>
      </c>
      <c r="G84" s="30"/>
      <c r="H84" s="31">
        <f t="shared" si="17"/>
        <v>-13.327500000000001</v>
      </c>
      <c r="I84" s="32">
        <f>N(121086)</f>
        <v>121086</v>
      </c>
      <c r="J84" s="30">
        <f t="shared" si="18"/>
        <v>-14907</v>
      </c>
      <c r="K84" s="30"/>
      <c r="L84" s="30">
        <f t="shared" si="19"/>
        <v>-12.3110846836133</v>
      </c>
      <c r="M84" s="5">
        <f>N(135993)</f>
        <v>135993</v>
      </c>
      <c r="N84" s="30">
        <f>N(120000)</f>
        <v>120000</v>
      </c>
      <c r="O84" s="30">
        <f t="shared" si="20"/>
        <v>-15993</v>
      </c>
      <c r="P84" s="30"/>
      <c r="Q84" s="30">
        <f t="shared" si="21"/>
        <v>-13.327500000000001</v>
      </c>
      <c r="R84" s="32">
        <f>N(121086)</f>
        <v>121086</v>
      </c>
      <c r="S84" s="33">
        <f t="shared" si="22"/>
        <v>-14907</v>
      </c>
      <c r="T84" s="34"/>
      <c r="U84" s="34">
        <f t="shared" si="23"/>
        <v>-12.3110846836133</v>
      </c>
    </row>
    <row r="85" spans="1:21" hidden="1" outlineLevel="2">
      <c r="A85" s="22"/>
      <c r="B85" s="28">
        <v>5391</v>
      </c>
      <c r="C85" s="29" t="s">
        <v>115</v>
      </c>
      <c r="D85" s="5">
        <f>N(0)</f>
        <v>0</v>
      </c>
      <c r="E85" s="30">
        <f>N(0)</f>
        <v>0</v>
      </c>
      <c r="F85" s="30">
        <f t="shared" si="16"/>
        <v>0</v>
      </c>
      <c r="G85" s="30"/>
      <c r="H85" s="31">
        <f t="shared" si="17"/>
        <v>0</v>
      </c>
      <c r="I85" s="32">
        <f>N(48625)</f>
        <v>48625</v>
      </c>
      <c r="J85" s="30">
        <f t="shared" si="18"/>
        <v>48625</v>
      </c>
      <c r="K85" s="30"/>
      <c r="L85" s="30">
        <f t="shared" si="19"/>
        <v>100</v>
      </c>
      <c r="M85" s="5">
        <f>N(0)</f>
        <v>0</v>
      </c>
      <c r="N85" s="30">
        <f>N(0)</f>
        <v>0</v>
      </c>
      <c r="O85" s="30">
        <f t="shared" si="20"/>
        <v>0</v>
      </c>
      <c r="P85" s="30"/>
      <c r="Q85" s="30">
        <f t="shared" si="21"/>
        <v>0</v>
      </c>
      <c r="R85" s="32">
        <f>N(48625)</f>
        <v>48625</v>
      </c>
      <c r="S85" s="33">
        <f t="shared" si="22"/>
        <v>48625</v>
      </c>
      <c r="T85" s="34"/>
      <c r="U85" s="34">
        <f t="shared" si="23"/>
        <v>100</v>
      </c>
    </row>
    <row r="86" spans="1:21" hidden="1" outlineLevel="1">
      <c r="A86" s="22"/>
      <c r="B86" s="35" t="str">
        <f>"    "&amp;"Annen oppgavepliktig godtgjørelse"</f>
        <v xml:space="preserve">    Annen oppgavepliktig godtgjørelse</v>
      </c>
      <c r="C86" s="36"/>
      <c r="D86" s="37">
        <f>SUM(D83:D85)</f>
        <v>268629.95</v>
      </c>
      <c r="E86" s="33">
        <f>SUM(E83:E85)</f>
        <v>351512</v>
      </c>
      <c r="F86" s="33">
        <f t="shared" si="16"/>
        <v>82882.049999999988</v>
      </c>
      <c r="G86" s="33"/>
      <c r="H86" s="38">
        <f t="shared" si="17"/>
        <v>23.578725619608999</v>
      </c>
      <c r="I86" s="39">
        <f>SUM(I83:I85)</f>
        <v>367371.57999999996</v>
      </c>
      <c r="J86" s="33">
        <f t="shared" si="18"/>
        <v>98741.629999999946</v>
      </c>
      <c r="K86" s="33"/>
      <c r="L86" s="33">
        <f t="shared" si="19"/>
        <v>26.877863007258199</v>
      </c>
      <c r="M86" s="37">
        <f>SUM(M83:M85)</f>
        <v>268629.95</v>
      </c>
      <c r="N86" s="33">
        <f>SUM(N83:N85)</f>
        <v>351512</v>
      </c>
      <c r="O86" s="33">
        <f t="shared" si="20"/>
        <v>82882.049999999988</v>
      </c>
      <c r="P86" s="33"/>
      <c r="Q86" s="33">
        <f t="shared" si="21"/>
        <v>23.578725619608999</v>
      </c>
      <c r="R86" s="39">
        <f>SUM(R83:R85)</f>
        <v>367371.57999999996</v>
      </c>
      <c r="S86" s="33">
        <f t="shared" si="22"/>
        <v>98741.629999999946</v>
      </c>
      <c r="T86" s="34"/>
      <c r="U86" s="34">
        <f t="shared" si="23"/>
        <v>26.877863007258199</v>
      </c>
    </row>
    <row r="87" spans="1:21" hidden="1" outlineLevel="2">
      <c r="A87" s="22"/>
      <c r="B87" s="28">
        <v>5400</v>
      </c>
      <c r="C87" s="29" t="s">
        <v>116</v>
      </c>
      <c r="D87" s="5">
        <f>N(1444414.97)</f>
        <v>1444414.97</v>
      </c>
      <c r="E87" s="30">
        <f>N(1739829.530568)</f>
        <v>1739829.5305679999</v>
      </c>
      <c r="F87" s="30">
        <f t="shared" si="16"/>
        <v>295414.56056799996</v>
      </c>
      <c r="G87" s="30"/>
      <c r="H87" s="31">
        <f t="shared" si="17"/>
        <v>16.97951180720311</v>
      </c>
      <c r="I87" s="32">
        <f>N(1418860.11)</f>
        <v>1418860.11</v>
      </c>
      <c r="J87" s="30">
        <f t="shared" si="18"/>
        <v>-25554.85999999987</v>
      </c>
      <c r="K87" s="30"/>
      <c r="L87" s="30">
        <f t="shared" si="19"/>
        <v>-1.8010838291873514</v>
      </c>
      <c r="M87" s="5">
        <f>N(1444414.97)</f>
        <v>1444414.97</v>
      </c>
      <c r="N87" s="30">
        <f>N(1739829.530568)</f>
        <v>1739829.5305679999</v>
      </c>
      <c r="O87" s="30">
        <f t="shared" si="20"/>
        <v>295414.56056799996</v>
      </c>
      <c r="P87" s="30"/>
      <c r="Q87" s="30">
        <f t="shared" si="21"/>
        <v>16.97951180720311</v>
      </c>
      <c r="R87" s="32">
        <f>N(1418860.11)</f>
        <v>1418860.11</v>
      </c>
      <c r="S87" s="33">
        <f t="shared" si="22"/>
        <v>-25554.85999999987</v>
      </c>
      <c r="T87" s="34"/>
      <c r="U87" s="34">
        <f t="shared" si="23"/>
        <v>-1.8010838291873514</v>
      </c>
    </row>
    <row r="88" spans="1:21" hidden="1" outlineLevel="2">
      <c r="A88" s="22"/>
      <c r="B88" s="28">
        <v>5410</v>
      </c>
      <c r="C88" s="29" t="s">
        <v>117</v>
      </c>
      <c r="D88" s="5">
        <f>N(165916.61)</f>
        <v>165916.60999999999</v>
      </c>
      <c r="E88" s="30">
        <f>N(191128.014561)</f>
        <v>191128.01456099999</v>
      </c>
      <c r="F88" s="30">
        <f t="shared" si="16"/>
        <v>25211.404561000003</v>
      </c>
      <c r="G88" s="30"/>
      <c r="H88" s="31">
        <f t="shared" si="17"/>
        <v>13.190847306663978</v>
      </c>
      <c r="I88" s="32">
        <f>N(173547.75)</f>
        <v>173547.75</v>
      </c>
      <c r="J88" s="30">
        <f t="shared" si="18"/>
        <v>7631.140000000014</v>
      </c>
      <c r="K88" s="30"/>
      <c r="L88" s="30">
        <f t="shared" si="19"/>
        <v>4.3971414207329191</v>
      </c>
      <c r="M88" s="5">
        <f>N(165916.61)</f>
        <v>165916.60999999999</v>
      </c>
      <c r="N88" s="30">
        <f>N(191128.014561)</f>
        <v>191128.01456099999</v>
      </c>
      <c r="O88" s="30">
        <f t="shared" si="20"/>
        <v>25211.404561000003</v>
      </c>
      <c r="P88" s="30"/>
      <c r="Q88" s="30">
        <f t="shared" si="21"/>
        <v>13.190847306663978</v>
      </c>
      <c r="R88" s="32">
        <f>N(173547.75)</f>
        <v>173547.75</v>
      </c>
      <c r="S88" s="33">
        <f t="shared" si="22"/>
        <v>7631.140000000014</v>
      </c>
      <c r="T88" s="34"/>
      <c r="U88" s="34">
        <f t="shared" si="23"/>
        <v>4.3971414207329191</v>
      </c>
    </row>
    <row r="89" spans="1:21" hidden="1" outlineLevel="1">
      <c r="A89" s="22"/>
      <c r="B89" s="35" t="str">
        <f>"    "&amp;"Arbeidsgiveravgift og pensjonskostnad"</f>
        <v xml:space="preserve">    Arbeidsgiveravgift og pensjonskostnad</v>
      </c>
      <c r="C89" s="36"/>
      <c r="D89" s="37">
        <f>SUM(D87:D88)</f>
        <v>1610331.58</v>
      </c>
      <c r="E89" s="33">
        <f>SUM(E87:E88)</f>
        <v>1930957.545129</v>
      </c>
      <c r="F89" s="33">
        <f t="shared" si="16"/>
        <v>320625.9651289999</v>
      </c>
      <c r="G89" s="33"/>
      <c r="H89" s="38">
        <f t="shared" si="17"/>
        <v>16.604506191128095</v>
      </c>
      <c r="I89" s="39">
        <f>SUM(I87:I88)</f>
        <v>1592407.86</v>
      </c>
      <c r="J89" s="33">
        <f t="shared" si="18"/>
        <v>-17923.719999999972</v>
      </c>
      <c r="K89" s="33"/>
      <c r="L89" s="33">
        <f t="shared" si="19"/>
        <v>-1.1255734444817405</v>
      </c>
      <c r="M89" s="37">
        <f>SUM(M87:M88)</f>
        <v>1610331.58</v>
      </c>
      <c r="N89" s="33">
        <f>SUM(N87:N88)</f>
        <v>1930957.545129</v>
      </c>
      <c r="O89" s="33">
        <f t="shared" si="20"/>
        <v>320625.9651289999</v>
      </c>
      <c r="P89" s="33"/>
      <c r="Q89" s="33">
        <f t="shared" si="21"/>
        <v>16.604506191128095</v>
      </c>
      <c r="R89" s="39">
        <f>SUM(R87:R88)</f>
        <v>1592407.86</v>
      </c>
      <c r="S89" s="33">
        <f t="shared" si="22"/>
        <v>-17923.719999999972</v>
      </c>
      <c r="T89" s="34"/>
      <c r="U89" s="34">
        <f t="shared" si="23"/>
        <v>-1.1255734444817405</v>
      </c>
    </row>
    <row r="90" spans="1:21" hidden="1" outlineLevel="2">
      <c r="A90" s="22"/>
      <c r="B90" s="28">
        <v>5800</v>
      </c>
      <c r="C90" s="29" t="s">
        <v>118</v>
      </c>
      <c r="D90" s="5">
        <f>N(-555720)</f>
        <v>-555720</v>
      </c>
      <c r="E90" s="30">
        <f>N(0)</f>
        <v>0</v>
      </c>
      <c r="F90" s="30">
        <f t="shared" si="16"/>
        <v>555720</v>
      </c>
      <c r="G90" s="30"/>
      <c r="H90" s="31">
        <f t="shared" si="17"/>
        <v>0</v>
      </c>
      <c r="I90" s="32">
        <f>N(-726574)</f>
        <v>-726574</v>
      </c>
      <c r="J90" s="30">
        <f t="shared" si="18"/>
        <v>-170854</v>
      </c>
      <c r="K90" s="30"/>
      <c r="L90" s="30">
        <f t="shared" si="19"/>
        <v>23.515017052633318</v>
      </c>
      <c r="M90" s="5">
        <f>N(-555720)</f>
        <v>-555720</v>
      </c>
      <c r="N90" s="30">
        <f>N(0)</f>
        <v>0</v>
      </c>
      <c r="O90" s="30">
        <f t="shared" si="20"/>
        <v>555720</v>
      </c>
      <c r="P90" s="30"/>
      <c r="Q90" s="30">
        <f t="shared" si="21"/>
        <v>0</v>
      </c>
      <c r="R90" s="32">
        <f>N(-726574)</f>
        <v>-726574</v>
      </c>
      <c r="S90" s="33">
        <f t="shared" si="22"/>
        <v>-170854</v>
      </c>
      <c r="T90" s="34"/>
      <c r="U90" s="34">
        <f t="shared" si="23"/>
        <v>23.515017052633318</v>
      </c>
    </row>
    <row r="91" spans="1:21" hidden="1" outlineLevel="2">
      <c r="A91" s="22"/>
      <c r="B91" s="28">
        <v>5802</v>
      </c>
      <c r="C91" s="29" t="s">
        <v>119</v>
      </c>
      <c r="D91" s="5">
        <f>N(-6318.55)</f>
        <v>-6318.55</v>
      </c>
      <c r="E91" s="30">
        <f>N(0)</f>
        <v>0</v>
      </c>
      <c r="F91" s="30">
        <f t="shared" si="16"/>
        <v>6318.55</v>
      </c>
      <c r="G91" s="30"/>
      <c r="H91" s="31">
        <f t="shared" si="17"/>
        <v>0</v>
      </c>
      <c r="I91" s="32">
        <f>N(-1272)</f>
        <v>-1272</v>
      </c>
      <c r="J91" s="30">
        <f t="shared" si="18"/>
        <v>5046.55</v>
      </c>
      <c r="K91" s="30"/>
      <c r="L91" s="30">
        <f t="shared" si="19"/>
        <v>-396.74135220125788</v>
      </c>
      <c r="M91" s="5">
        <f>N(-6318.55)</f>
        <v>-6318.55</v>
      </c>
      <c r="N91" s="30">
        <f>N(0)</f>
        <v>0</v>
      </c>
      <c r="O91" s="30">
        <f t="shared" si="20"/>
        <v>6318.55</v>
      </c>
      <c r="P91" s="30"/>
      <c r="Q91" s="30">
        <f t="shared" si="21"/>
        <v>0</v>
      </c>
      <c r="R91" s="32">
        <f>N(-1272)</f>
        <v>-1272</v>
      </c>
      <c r="S91" s="33">
        <f t="shared" si="22"/>
        <v>5046.55</v>
      </c>
      <c r="T91" s="34"/>
      <c r="U91" s="34">
        <f t="shared" si="23"/>
        <v>-396.74135220125788</v>
      </c>
    </row>
    <row r="92" spans="1:21" hidden="1" outlineLevel="1">
      <c r="A92" s="22"/>
      <c r="B92" s="35" t="str">
        <f>"    "&amp;"Offentlig refusjon vedrørende arbeidskraft"</f>
        <v xml:space="preserve">    Offentlig refusjon vedrørende arbeidskraft</v>
      </c>
      <c r="C92" s="36"/>
      <c r="D92" s="37">
        <f>SUM(D90:D91)</f>
        <v>-562038.55000000005</v>
      </c>
      <c r="E92" s="33">
        <f>SUM(E90:E91)</f>
        <v>0</v>
      </c>
      <c r="F92" s="33">
        <f t="shared" si="16"/>
        <v>562038.55000000005</v>
      </c>
      <c r="G92" s="33"/>
      <c r="H92" s="38">
        <f t="shared" si="17"/>
        <v>0</v>
      </c>
      <c r="I92" s="39">
        <f>SUM(I90:I91)</f>
        <v>-727846</v>
      </c>
      <c r="J92" s="33">
        <f t="shared" si="18"/>
        <v>-165807.44999999995</v>
      </c>
      <c r="K92" s="33"/>
      <c r="L92" s="33">
        <f t="shared" si="19"/>
        <v>22.780567592595133</v>
      </c>
      <c r="M92" s="37">
        <f>SUM(M90:M91)</f>
        <v>-562038.55000000005</v>
      </c>
      <c r="N92" s="33">
        <f>SUM(N90:N91)</f>
        <v>0</v>
      </c>
      <c r="O92" s="33">
        <f t="shared" si="20"/>
        <v>562038.55000000005</v>
      </c>
      <c r="P92" s="33"/>
      <c r="Q92" s="33">
        <f t="shared" si="21"/>
        <v>0</v>
      </c>
      <c r="R92" s="39">
        <f>SUM(R90:R91)</f>
        <v>-727846</v>
      </c>
      <c r="S92" s="33">
        <f t="shared" si="22"/>
        <v>-165807.44999999995</v>
      </c>
      <c r="T92" s="34"/>
      <c r="U92" s="34">
        <f t="shared" si="23"/>
        <v>22.780567592595133</v>
      </c>
    </row>
    <row r="93" spans="1:21" hidden="1" outlineLevel="2">
      <c r="A93" s="22"/>
      <c r="B93" s="28">
        <v>5500</v>
      </c>
      <c r="C93" s="29" t="s">
        <v>121</v>
      </c>
      <c r="D93" s="5">
        <f>N(206795.33)</f>
        <v>206795.33</v>
      </c>
      <c r="E93" s="30">
        <f>N(0)</f>
        <v>0</v>
      </c>
      <c r="F93" s="30">
        <f t="shared" si="16"/>
        <v>-206795.33</v>
      </c>
      <c r="G93" s="30"/>
      <c r="H93" s="31">
        <f t="shared" si="17"/>
        <v>0</v>
      </c>
      <c r="I93" s="32">
        <f>N(31777.06)</f>
        <v>31777.06</v>
      </c>
      <c r="J93" s="30">
        <f t="shared" si="18"/>
        <v>-175018.27</v>
      </c>
      <c r="K93" s="30"/>
      <c r="L93" s="30">
        <f t="shared" si="19"/>
        <v>-550.76923415822603</v>
      </c>
      <c r="M93" s="5">
        <f>N(206795.33)</f>
        <v>206795.33</v>
      </c>
      <c r="N93" s="30">
        <f>N(0)</f>
        <v>0</v>
      </c>
      <c r="O93" s="30">
        <f t="shared" si="20"/>
        <v>-206795.33</v>
      </c>
      <c r="P93" s="30"/>
      <c r="Q93" s="30">
        <f t="shared" si="21"/>
        <v>0</v>
      </c>
      <c r="R93" s="32">
        <f>N(31777.06)</f>
        <v>31777.06</v>
      </c>
      <c r="S93" s="33">
        <f t="shared" si="22"/>
        <v>-175018.27</v>
      </c>
      <c r="T93" s="34"/>
      <c r="U93" s="34">
        <f t="shared" si="23"/>
        <v>-550.76923415822603</v>
      </c>
    </row>
    <row r="94" spans="1:21" hidden="1" outlineLevel="2">
      <c r="A94" s="22"/>
      <c r="B94" s="28">
        <v>5900</v>
      </c>
      <c r="C94" s="29" t="s">
        <v>122</v>
      </c>
      <c r="D94" s="5">
        <f>N(29318.7)</f>
        <v>29318.7</v>
      </c>
      <c r="E94" s="30">
        <f>N(0)</f>
        <v>0</v>
      </c>
      <c r="F94" s="30">
        <f t="shared" si="16"/>
        <v>-29318.7</v>
      </c>
      <c r="G94" s="30"/>
      <c r="H94" s="31">
        <f t="shared" si="17"/>
        <v>0</v>
      </c>
      <c r="I94" s="32">
        <f>N(18620.9)</f>
        <v>18620.900000000001</v>
      </c>
      <c r="J94" s="30">
        <f t="shared" si="18"/>
        <v>-10697.8</v>
      </c>
      <c r="K94" s="30"/>
      <c r="L94" s="30">
        <f t="shared" si="19"/>
        <v>-57.450499170287145</v>
      </c>
      <c r="M94" s="5">
        <f>N(29318.7)</f>
        <v>29318.7</v>
      </c>
      <c r="N94" s="30">
        <f>N(0)</f>
        <v>0</v>
      </c>
      <c r="O94" s="30">
        <f t="shared" si="20"/>
        <v>-29318.7</v>
      </c>
      <c r="P94" s="30"/>
      <c r="Q94" s="30">
        <f t="shared" si="21"/>
        <v>0</v>
      </c>
      <c r="R94" s="32">
        <f>N(18620.9)</f>
        <v>18620.900000000001</v>
      </c>
      <c r="S94" s="33">
        <f t="shared" si="22"/>
        <v>-10697.8</v>
      </c>
      <c r="T94" s="34"/>
      <c r="U94" s="34">
        <f t="shared" si="23"/>
        <v>-57.450499170287145</v>
      </c>
    </row>
    <row r="95" spans="1:21" hidden="1" outlineLevel="2">
      <c r="A95" s="22"/>
      <c r="B95" s="28">
        <v>5910</v>
      </c>
      <c r="C95" s="29" t="s">
        <v>109</v>
      </c>
      <c r="D95" s="5">
        <f>N(10922.17)</f>
        <v>10922.17</v>
      </c>
      <c r="E95" s="30">
        <f>N(0)</f>
        <v>0</v>
      </c>
      <c r="F95" s="30">
        <f t="shared" si="16"/>
        <v>-10922.17</v>
      </c>
      <c r="G95" s="30"/>
      <c r="H95" s="31">
        <f t="shared" si="17"/>
        <v>0</v>
      </c>
      <c r="I95" s="32">
        <f>N(8320.28)</f>
        <v>8320.2800000000007</v>
      </c>
      <c r="J95" s="30">
        <f t="shared" si="18"/>
        <v>-2601.8899999999994</v>
      </c>
      <c r="K95" s="30"/>
      <c r="L95" s="30">
        <f t="shared" si="19"/>
        <v>-31.271663934386815</v>
      </c>
      <c r="M95" s="5">
        <f>N(10922.17)</f>
        <v>10922.17</v>
      </c>
      <c r="N95" s="30">
        <f>N(0)</f>
        <v>0</v>
      </c>
      <c r="O95" s="30">
        <f t="shared" si="20"/>
        <v>-10922.17</v>
      </c>
      <c r="P95" s="30"/>
      <c r="Q95" s="30">
        <f t="shared" si="21"/>
        <v>0</v>
      </c>
      <c r="R95" s="32">
        <f>N(8320.28)</f>
        <v>8320.2800000000007</v>
      </c>
      <c r="S95" s="33">
        <f t="shared" si="22"/>
        <v>-2601.8899999999994</v>
      </c>
      <c r="T95" s="34"/>
      <c r="U95" s="34">
        <f t="shared" si="23"/>
        <v>-31.271663934386815</v>
      </c>
    </row>
    <row r="96" spans="1:21" hidden="1" outlineLevel="2">
      <c r="A96" s="22"/>
      <c r="B96" s="28">
        <v>5942</v>
      </c>
      <c r="C96" s="29" t="s">
        <v>123</v>
      </c>
      <c r="D96" s="5">
        <f>N(-231578)</f>
        <v>-231578</v>
      </c>
      <c r="E96" s="30">
        <f>N(0)</f>
        <v>0</v>
      </c>
      <c r="F96" s="30">
        <f t="shared" si="16"/>
        <v>231578</v>
      </c>
      <c r="G96" s="30"/>
      <c r="H96" s="31">
        <f t="shared" si="17"/>
        <v>0</v>
      </c>
      <c r="I96" s="32">
        <f>N(18138)</f>
        <v>18138</v>
      </c>
      <c r="J96" s="30">
        <f t="shared" si="18"/>
        <v>249716</v>
      </c>
      <c r="K96" s="30"/>
      <c r="L96" s="30">
        <f t="shared" si="19"/>
        <v>1376.7559819164185</v>
      </c>
      <c r="M96" s="5">
        <f>N(-231578)</f>
        <v>-231578</v>
      </c>
      <c r="N96" s="30">
        <f>N(0)</f>
        <v>0</v>
      </c>
      <c r="O96" s="30">
        <f t="shared" si="20"/>
        <v>231578</v>
      </c>
      <c r="P96" s="30"/>
      <c r="Q96" s="30">
        <f t="shared" si="21"/>
        <v>0</v>
      </c>
      <c r="R96" s="32">
        <f>N(18138)</f>
        <v>18138</v>
      </c>
      <c r="S96" s="33">
        <f t="shared" si="22"/>
        <v>249716</v>
      </c>
      <c r="T96" s="34"/>
      <c r="U96" s="34">
        <f t="shared" si="23"/>
        <v>1376.7559819164185</v>
      </c>
    </row>
    <row r="97" spans="1:21" hidden="1" outlineLevel="2">
      <c r="A97" s="22"/>
      <c r="B97" s="28">
        <v>5947</v>
      </c>
      <c r="C97" s="29" t="s">
        <v>124</v>
      </c>
      <c r="D97" s="5">
        <f>N(849490.04)</f>
        <v>849490.04</v>
      </c>
      <c r="E97" s="30">
        <f>N(1231994)</f>
        <v>1231994</v>
      </c>
      <c r="F97" s="30">
        <f t="shared" si="16"/>
        <v>382503.95999999996</v>
      </c>
      <c r="G97" s="30"/>
      <c r="H97" s="31">
        <f t="shared" si="17"/>
        <v>31.047550556252709</v>
      </c>
      <c r="I97" s="32">
        <f>N(631038.68)</f>
        <v>631038.68000000005</v>
      </c>
      <c r="J97" s="30">
        <f t="shared" si="18"/>
        <v>-218451.36</v>
      </c>
      <c r="K97" s="30"/>
      <c r="L97" s="30">
        <f t="shared" si="19"/>
        <v>-34.617744826672109</v>
      </c>
      <c r="M97" s="5">
        <f>N(849490.04)</f>
        <v>849490.04</v>
      </c>
      <c r="N97" s="30">
        <f>N(1231994)</f>
        <v>1231994</v>
      </c>
      <c r="O97" s="30">
        <f t="shared" si="20"/>
        <v>382503.95999999996</v>
      </c>
      <c r="P97" s="30"/>
      <c r="Q97" s="30">
        <f t="shared" si="21"/>
        <v>31.047550556252709</v>
      </c>
      <c r="R97" s="32">
        <f>N(631038.68)</f>
        <v>631038.68000000005</v>
      </c>
      <c r="S97" s="33">
        <f t="shared" si="22"/>
        <v>-218451.36</v>
      </c>
      <c r="T97" s="34"/>
      <c r="U97" s="34">
        <f t="shared" si="23"/>
        <v>-34.617744826672109</v>
      </c>
    </row>
    <row r="98" spans="1:21" hidden="1" outlineLevel="2">
      <c r="A98" s="22"/>
      <c r="B98" s="28">
        <v>5960</v>
      </c>
      <c r="C98" s="29" t="s">
        <v>125</v>
      </c>
      <c r="D98" s="5">
        <f>N(13175)</f>
        <v>13175</v>
      </c>
      <c r="E98" s="30">
        <f>N(0)</f>
        <v>0</v>
      </c>
      <c r="F98" s="30">
        <f t="shared" si="16"/>
        <v>-13175</v>
      </c>
      <c r="G98" s="30"/>
      <c r="H98" s="31">
        <f t="shared" si="17"/>
        <v>0</v>
      </c>
      <c r="I98" s="32">
        <f>N(29386)</f>
        <v>29386</v>
      </c>
      <c r="J98" s="30">
        <f t="shared" si="18"/>
        <v>16211</v>
      </c>
      <c r="K98" s="30"/>
      <c r="L98" s="30">
        <f t="shared" si="19"/>
        <v>55.16572517525352</v>
      </c>
      <c r="M98" s="5">
        <f>N(13175)</f>
        <v>13175</v>
      </c>
      <c r="N98" s="30">
        <f>N(0)</f>
        <v>0</v>
      </c>
      <c r="O98" s="30">
        <f t="shared" si="20"/>
        <v>-13175</v>
      </c>
      <c r="P98" s="30"/>
      <c r="Q98" s="30">
        <f t="shared" si="21"/>
        <v>0</v>
      </c>
      <c r="R98" s="32">
        <f>N(29386)</f>
        <v>29386</v>
      </c>
      <c r="S98" s="33">
        <f t="shared" si="22"/>
        <v>16211</v>
      </c>
      <c r="T98" s="34"/>
      <c r="U98" s="34">
        <f t="shared" si="23"/>
        <v>55.16572517525352</v>
      </c>
    </row>
    <row r="99" spans="1:21" hidden="1" outlineLevel="2">
      <c r="A99" s="22"/>
      <c r="B99" s="28">
        <v>5980</v>
      </c>
      <c r="C99" s="29" t="s">
        <v>126</v>
      </c>
      <c r="D99" s="5">
        <f>N(503801.31)</f>
        <v>503801.31</v>
      </c>
      <c r="E99" s="30">
        <f>N(0)</f>
        <v>0</v>
      </c>
      <c r="F99" s="30">
        <f t="shared" si="16"/>
        <v>-503801.31</v>
      </c>
      <c r="G99" s="30"/>
      <c r="H99" s="31">
        <f t="shared" si="17"/>
        <v>0</v>
      </c>
      <c r="I99" s="32">
        <f>N(288686.07)</f>
        <v>288686.07</v>
      </c>
      <c r="J99" s="30">
        <f t="shared" si="18"/>
        <v>-215115.24</v>
      </c>
      <c r="K99" s="30"/>
      <c r="L99" s="30">
        <f t="shared" si="19"/>
        <v>-74.515282292630189</v>
      </c>
      <c r="M99" s="5">
        <f>N(503801.31)</f>
        <v>503801.31</v>
      </c>
      <c r="N99" s="30">
        <f>N(0)</f>
        <v>0</v>
      </c>
      <c r="O99" s="30">
        <f t="shared" si="20"/>
        <v>-503801.31</v>
      </c>
      <c r="P99" s="30"/>
      <c r="Q99" s="30">
        <f t="shared" si="21"/>
        <v>0</v>
      </c>
      <c r="R99" s="32">
        <f>N(288686.07)</f>
        <v>288686.07</v>
      </c>
      <c r="S99" s="33">
        <f t="shared" si="22"/>
        <v>-215115.24</v>
      </c>
      <c r="T99" s="34"/>
      <c r="U99" s="34">
        <f t="shared" si="23"/>
        <v>-74.515282292630189</v>
      </c>
    </row>
    <row r="100" spans="1:21" hidden="1" outlineLevel="2">
      <c r="A100" s="22"/>
      <c r="B100" s="28">
        <v>5990</v>
      </c>
      <c r="C100" s="29" t="s">
        <v>127</v>
      </c>
      <c r="D100" s="5">
        <f>N(47796.96)</f>
        <v>47796.959999999999</v>
      </c>
      <c r="E100" s="30">
        <f>N(2010)</f>
        <v>2010</v>
      </c>
      <c r="F100" s="30">
        <f t="shared" si="16"/>
        <v>-45786.96</v>
      </c>
      <c r="G100" s="30"/>
      <c r="H100" s="31">
        <f t="shared" si="17"/>
        <v>-2277.9582089552237</v>
      </c>
      <c r="I100" s="32">
        <f>N(82388.81)</f>
        <v>82388.81</v>
      </c>
      <c r="J100" s="30">
        <f t="shared" si="18"/>
        <v>34591.85</v>
      </c>
      <c r="K100" s="30"/>
      <c r="L100" s="30">
        <f t="shared" si="19"/>
        <v>41.986102238884143</v>
      </c>
      <c r="M100" s="5">
        <f>N(47796.96)</f>
        <v>47796.959999999999</v>
      </c>
      <c r="N100" s="30">
        <f>N(2010)</f>
        <v>2010</v>
      </c>
      <c r="O100" s="30">
        <f t="shared" si="20"/>
        <v>-45786.96</v>
      </c>
      <c r="P100" s="30"/>
      <c r="Q100" s="30">
        <f t="shared" si="21"/>
        <v>-2277.9582089552237</v>
      </c>
      <c r="R100" s="32">
        <f>N(82388.81)</f>
        <v>82388.81</v>
      </c>
      <c r="S100" s="33">
        <f t="shared" si="22"/>
        <v>34591.85</v>
      </c>
      <c r="T100" s="34"/>
      <c r="U100" s="34">
        <f t="shared" si="23"/>
        <v>41.986102238884143</v>
      </c>
    </row>
    <row r="101" spans="1:21" hidden="1" outlineLevel="2">
      <c r="A101" s="22"/>
      <c r="B101" s="28">
        <v>5995</v>
      </c>
      <c r="C101" s="29" t="s">
        <v>128</v>
      </c>
      <c r="D101" s="5">
        <f>N(0)</f>
        <v>0</v>
      </c>
      <c r="E101" s="30">
        <f>N(1861)</f>
        <v>1861</v>
      </c>
      <c r="F101" s="30">
        <f t="shared" si="16"/>
        <v>1861</v>
      </c>
      <c r="G101" s="30"/>
      <c r="H101" s="31">
        <f t="shared" si="17"/>
        <v>100</v>
      </c>
      <c r="I101" s="32">
        <f>N(0.2)</f>
        <v>0.2</v>
      </c>
      <c r="J101" s="30">
        <f t="shared" si="18"/>
        <v>0.2</v>
      </c>
      <c r="K101" s="30"/>
      <c r="L101" s="30">
        <f t="shared" si="19"/>
        <v>100</v>
      </c>
      <c r="M101" s="5">
        <f>N(0)</f>
        <v>0</v>
      </c>
      <c r="N101" s="30">
        <f>N(1861)</f>
        <v>1861</v>
      </c>
      <c r="O101" s="30">
        <f t="shared" si="20"/>
        <v>1861</v>
      </c>
      <c r="P101" s="30"/>
      <c r="Q101" s="30">
        <f t="shared" si="21"/>
        <v>100</v>
      </c>
      <c r="R101" s="32">
        <f>N(0.2)</f>
        <v>0.2</v>
      </c>
      <c r="S101" s="33">
        <f t="shared" si="22"/>
        <v>0.2</v>
      </c>
      <c r="T101" s="34"/>
      <c r="U101" s="34">
        <f t="shared" si="23"/>
        <v>100</v>
      </c>
    </row>
    <row r="102" spans="1:21" hidden="1" outlineLevel="2">
      <c r="A102" s="22"/>
      <c r="B102" s="28">
        <v>5999</v>
      </c>
      <c r="C102" s="29" t="s">
        <v>129</v>
      </c>
      <c r="D102" s="5">
        <f>N(0)</f>
        <v>0</v>
      </c>
      <c r="E102" s="30">
        <f>N(0)</f>
        <v>0</v>
      </c>
      <c r="F102" s="30">
        <f t="shared" si="16"/>
        <v>0</v>
      </c>
      <c r="G102" s="30"/>
      <c r="H102" s="31">
        <f t="shared" si="17"/>
        <v>0</v>
      </c>
      <c r="I102" s="32">
        <f>N(0)</f>
        <v>0</v>
      </c>
      <c r="J102" s="30">
        <f t="shared" si="18"/>
        <v>0</v>
      </c>
      <c r="K102" s="30"/>
      <c r="L102" s="30">
        <f t="shared" si="19"/>
        <v>0</v>
      </c>
      <c r="M102" s="5">
        <f>N(0)</f>
        <v>0</v>
      </c>
      <c r="N102" s="30">
        <f>N(0)</f>
        <v>0</v>
      </c>
      <c r="O102" s="30">
        <f t="shared" si="20"/>
        <v>0</v>
      </c>
      <c r="P102" s="30"/>
      <c r="Q102" s="30">
        <f t="shared" si="21"/>
        <v>0</v>
      </c>
      <c r="R102" s="32">
        <f>N(0)</f>
        <v>0</v>
      </c>
      <c r="S102" s="33">
        <f t="shared" si="22"/>
        <v>0</v>
      </c>
      <c r="T102" s="34"/>
      <c r="U102" s="34">
        <f t="shared" si="23"/>
        <v>0</v>
      </c>
    </row>
    <row r="103" spans="1:21" hidden="1" outlineLevel="1">
      <c r="A103" s="22"/>
      <c r="B103" s="35" t="str">
        <f>"    "&amp;"Annen personalkostnad"</f>
        <v xml:space="preserve">    Annen personalkostnad</v>
      </c>
      <c r="C103" s="36"/>
      <c r="D103" s="37">
        <f>SUM(D93:D102)</f>
        <v>1429721.51</v>
      </c>
      <c r="E103" s="33">
        <f>SUM(E93:E102)</f>
        <v>1235865</v>
      </c>
      <c r="F103" s="33">
        <f t="shared" si="16"/>
        <v>-193856.51</v>
      </c>
      <c r="G103" s="33"/>
      <c r="H103" s="38">
        <f t="shared" si="17"/>
        <v>-15.685896922398483</v>
      </c>
      <c r="I103" s="39">
        <f>SUM(I93:I102)</f>
        <v>1108356</v>
      </c>
      <c r="J103" s="33">
        <f t="shared" si="18"/>
        <v>-321365.51</v>
      </c>
      <c r="K103" s="33"/>
      <c r="L103" s="33">
        <f t="shared" si="19"/>
        <v>-28.994791384717544</v>
      </c>
      <c r="M103" s="37">
        <f>SUM(M93:M102)</f>
        <v>1429721.51</v>
      </c>
      <c r="N103" s="33">
        <f>SUM(N93:N102)</f>
        <v>1235865</v>
      </c>
      <c r="O103" s="33">
        <f t="shared" si="20"/>
        <v>-193856.51</v>
      </c>
      <c r="P103" s="33"/>
      <c r="Q103" s="33">
        <f t="shared" si="21"/>
        <v>-15.685896922398483</v>
      </c>
      <c r="R103" s="39">
        <f>SUM(R93:R102)</f>
        <v>1108356</v>
      </c>
      <c r="S103" s="33">
        <f t="shared" si="22"/>
        <v>-321365.51</v>
      </c>
      <c r="T103" s="34"/>
      <c r="U103" s="34">
        <f t="shared" si="23"/>
        <v>-28.994791384717544</v>
      </c>
    </row>
    <row r="104" spans="1:21" hidden="1" outlineLevel="2">
      <c r="A104" s="22"/>
      <c r="B104" s="28">
        <v>5310</v>
      </c>
      <c r="C104" s="29" t="s">
        <v>130</v>
      </c>
      <c r="D104" s="5">
        <f t="shared" ref="D104:E109" si="30">N(0)</f>
        <v>0</v>
      </c>
      <c r="E104" s="30">
        <f>N(5601)</f>
        <v>5601</v>
      </c>
      <c r="F104" s="30">
        <f t="shared" si="16"/>
        <v>5601</v>
      </c>
      <c r="G104" s="30"/>
      <c r="H104" s="31">
        <f t="shared" si="17"/>
        <v>100</v>
      </c>
      <c r="I104" s="32">
        <f t="shared" ref="I104:I109" si="31">N(0)</f>
        <v>0</v>
      </c>
      <c r="J104" s="30">
        <f t="shared" si="18"/>
        <v>0</v>
      </c>
      <c r="K104" s="30"/>
      <c r="L104" s="30">
        <f t="shared" si="19"/>
        <v>0</v>
      </c>
      <c r="M104" s="5">
        <f t="shared" ref="M104:N109" si="32">N(0)</f>
        <v>0</v>
      </c>
      <c r="N104" s="30">
        <f>N(5601)</f>
        <v>5601</v>
      </c>
      <c r="O104" s="30">
        <f t="shared" si="20"/>
        <v>5601</v>
      </c>
      <c r="P104" s="30"/>
      <c r="Q104" s="30">
        <f t="shared" si="21"/>
        <v>100</v>
      </c>
      <c r="R104" s="32">
        <f t="shared" ref="R104:R109" si="33">N(0)</f>
        <v>0</v>
      </c>
      <c r="S104" s="33">
        <f t="shared" si="22"/>
        <v>0</v>
      </c>
      <c r="T104" s="34"/>
      <c r="U104" s="34">
        <f t="shared" si="23"/>
        <v>0</v>
      </c>
    </row>
    <row r="105" spans="1:21" hidden="1" outlineLevel="2">
      <c r="A105" s="22"/>
      <c r="B105" s="28">
        <v>5930</v>
      </c>
      <c r="C105" s="29" t="s">
        <v>135</v>
      </c>
      <c r="D105" s="5">
        <f t="shared" si="30"/>
        <v>0</v>
      </c>
      <c r="E105" s="30">
        <f t="shared" si="30"/>
        <v>0</v>
      </c>
      <c r="F105" s="30">
        <f t="shared" si="16"/>
        <v>0</v>
      </c>
      <c r="G105" s="30"/>
      <c r="H105" s="31">
        <f t="shared" si="17"/>
        <v>0</v>
      </c>
      <c r="I105" s="32">
        <f t="shared" si="31"/>
        <v>0</v>
      </c>
      <c r="J105" s="30">
        <f t="shared" si="18"/>
        <v>0</v>
      </c>
      <c r="K105" s="30"/>
      <c r="L105" s="30">
        <f t="shared" si="19"/>
        <v>0</v>
      </c>
      <c r="M105" s="5">
        <f t="shared" si="32"/>
        <v>0</v>
      </c>
      <c r="N105" s="30">
        <f t="shared" si="32"/>
        <v>0</v>
      </c>
      <c r="O105" s="30">
        <f t="shared" si="20"/>
        <v>0</v>
      </c>
      <c r="P105" s="30"/>
      <c r="Q105" s="30">
        <f t="shared" si="21"/>
        <v>0</v>
      </c>
      <c r="R105" s="32">
        <f t="shared" si="33"/>
        <v>0</v>
      </c>
      <c r="S105" s="33">
        <f t="shared" si="22"/>
        <v>0</v>
      </c>
      <c r="T105" s="34"/>
      <c r="U105" s="34">
        <f t="shared" si="23"/>
        <v>0</v>
      </c>
    </row>
    <row r="106" spans="1:21" hidden="1" outlineLevel="2">
      <c r="A106" s="22"/>
      <c r="B106" s="28">
        <v>5931</v>
      </c>
      <c r="C106" s="29" t="s">
        <v>136</v>
      </c>
      <c r="D106" s="5">
        <f t="shared" si="30"/>
        <v>0</v>
      </c>
      <c r="E106" s="30">
        <f t="shared" si="30"/>
        <v>0</v>
      </c>
      <c r="F106" s="30">
        <f t="shared" si="16"/>
        <v>0</v>
      </c>
      <c r="G106" s="30"/>
      <c r="H106" s="31">
        <f t="shared" si="17"/>
        <v>0</v>
      </c>
      <c r="I106" s="32">
        <f t="shared" si="31"/>
        <v>0</v>
      </c>
      <c r="J106" s="30">
        <f t="shared" si="18"/>
        <v>0</v>
      </c>
      <c r="K106" s="30"/>
      <c r="L106" s="30">
        <f t="shared" si="19"/>
        <v>0</v>
      </c>
      <c r="M106" s="5">
        <f t="shared" si="32"/>
        <v>0</v>
      </c>
      <c r="N106" s="30">
        <f t="shared" si="32"/>
        <v>0</v>
      </c>
      <c r="O106" s="30">
        <f t="shared" si="20"/>
        <v>0</v>
      </c>
      <c r="P106" s="30"/>
      <c r="Q106" s="30">
        <f t="shared" si="21"/>
        <v>0</v>
      </c>
      <c r="R106" s="32">
        <f t="shared" si="33"/>
        <v>0</v>
      </c>
      <c r="S106" s="33">
        <f t="shared" si="22"/>
        <v>0</v>
      </c>
      <c r="T106" s="34"/>
      <c r="U106" s="34">
        <f t="shared" si="23"/>
        <v>0</v>
      </c>
    </row>
    <row r="107" spans="1:21" hidden="1" outlineLevel="2">
      <c r="A107" s="22"/>
      <c r="B107" s="28">
        <v>5944</v>
      </c>
      <c r="C107" s="29" t="s">
        <v>138</v>
      </c>
      <c r="D107" s="5">
        <f t="shared" si="30"/>
        <v>0</v>
      </c>
      <c r="E107" s="30">
        <f t="shared" si="30"/>
        <v>0</v>
      </c>
      <c r="F107" s="30">
        <f t="shared" si="16"/>
        <v>0</v>
      </c>
      <c r="G107" s="30"/>
      <c r="H107" s="31">
        <f t="shared" si="17"/>
        <v>0</v>
      </c>
      <c r="I107" s="32">
        <f t="shared" si="31"/>
        <v>0</v>
      </c>
      <c r="J107" s="30">
        <f t="shared" si="18"/>
        <v>0</v>
      </c>
      <c r="K107" s="30"/>
      <c r="L107" s="30">
        <f t="shared" si="19"/>
        <v>0</v>
      </c>
      <c r="M107" s="5">
        <f t="shared" si="32"/>
        <v>0</v>
      </c>
      <c r="N107" s="30">
        <f t="shared" si="32"/>
        <v>0</v>
      </c>
      <c r="O107" s="30">
        <f t="shared" si="20"/>
        <v>0</v>
      </c>
      <c r="P107" s="30"/>
      <c r="Q107" s="30">
        <f t="shared" si="21"/>
        <v>0</v>
      </c>
      <c r="R107" s="32">
        <f t="shared" si="33"/>
        <v>0</v>
      </c>
      <c r="S107" s="33">
        <f t="shared" si="22"/>
        <v>0</v>
      </c>
      <c r="T107" s="34"/>
      <c r="U107" s="34">
        <f t="shared" si="23"/>
        <v>0</v>
      </c>
    </row>
    <row r="108" spans="1:21" hidden="1" outlineLevel="2">
      <c r="A108" s="22"/>
      <c r="B108" s="28">
        <v>5948</v>
      </c>
      <c r="C108" s="29" t="s">
        <v>139</v>
      </c>
      <c r="D108" s="5">
        <f t="shared" si="30"/>
        <v>0</v>
      </c>
      <c r="E108" s="30">
        <f t="shared" si="30"/>
        <v>0</v>
      </c>
      <c r="F108" s="30">
        <f t="shared" si="16"/>
        <v>0</v>
      </c>
      <c r="G108" s="30"/>
      <c r="H108" s="31">
        <f t="shared" si="17"/>
        <v>0</v>
      </c>
      <c r="I108" s="32">
        <f t="shared" si="31"/>
        <v>0</v>
      </c>
      <c r="J108" s="30">
        <f t="shared" si="18"/>
        <v>0</v>
      </c>
      <c r="K108" s="30"/>
      <c r="L108" s="30">
        <f t="shared" si="19"/>
        <v>0</v>
      </c>
      <c r="M108" s="5">
        <f t="shared" si="32"/>
        <v>0</v>
      </c>
      <c r="N108" s="30">
        <f t="shared" si="32"/>
        <v>0</v>
      </c>
      <c r="O108" s="30">
        <f t="shared" si="20"/>
        <v>0</v>
      </c>
      <c r="P108" s="30"/>
      <c r="Q108" s="30">
        <f t="shared" si="21"/>
        <v>0</v>
      </c>
      <c r="R108" s="32">
        <f t="shared" si="33"/>
        <v>0</v>
      </c>
      <c r="S108" s="33">
        <f t="shared" si="22"/>
        <v>0</v>
      </c>
      <c r="T108" s="34"/>
      <c r="U108" s="34">
        <f t="shared" si="23"/>
        <v>0</v>
      </c>
    </row>
    <row r="109" spans="1:21" hidden="1" outlineLevel="2">
      <c r="A109" s="22"/>
      <c r="B109" s="28">
        <v>5994</v>
      </c>
      <c r="C109" s="29" t="s">
        <v>140</v>
      </c>
      <c r="D109" s="5">
        <f t="shared" si="30"/>
        <v>0</v>
      </c>
      <c r="E109" s="30">
        <f t="shared" si="30"/>
        <v>0</v>
      </c>
      <c r="F109" s="30">
        <f t="shared" si="16"/>
        <v>0</v>
      </c>
      <c r="G109" s="30"/>
      <c r="H109" s="31">
        <f t="shared" si="17"/>
        <v>0</v>
      </c>
      <c r="I109" s="32">
        <f t="shared" si="31"/>
        <v>0</v>
      </c>
      <c r="J109" s="30">
        <f t="shared" si="18"/>
        <v>0</v>
      </c>
      <c r="K109" s="30"/>
      <c r="L109" s="30">
        <f t="shared" si="19"/>
        <v>0</v>
      </c>
      <c r="M109" s="5">
        <f t="shared" si="32"/>
        <v>0</v>
      </c>
      <c r="N109" s="30">
        <f t="shared" si="32"/>
        <v>0</v>
      </c>
      <c r="O109" s="30">
        <f t="shared" si="20"/>
        <v>0</v>
      </c>
      <c r="P109" s="30"/>
      <c r="Q109" s="30">
        <f t="shared" si="21"/>
        <v>0</v>
      </c>
      <c r="R109" s="32">
        <f t="shared" si="33"/>
        <v>0</v>
      </c>
      <c r="S109" s="33">
        <f t="shared" si="22"/>
        <v>0</v>
      </c>
      <c r="T109" s="34"/>
      <c r="U109" s="34">
        <f t="shared" si="23"/>
        <v>0</v>
      </c>
    </row>
    <row r="110" spans="1:21" hidden="1" outlineLevel="1">
      <c r="A110" s="22"/>
      <c r="B110" s="35" t="str">
        <f>"    "&amp;"Pensjon og forsikring Cornerstone"</f>
        <v xml:space="preserve">    Pensjon og forsikring Cornerstone</v>
      </c>
      <c r="C110" s="36"/>
      <c r="D110" s="37">
        <f>SUM(D104:D109)</f>
        <v>0</v>
      </c>
      <c r="E110" s="33">
        <f>SUM(E104:E109)</f>
        <v>5601</v>
      </c>
      <c r="F110" s="33">
        <f>-D110+E110</f>
        <v>5601</v>
      </c>
      <c r="G110" s="33"/>
      <c r="H110" s="38">
        <f>IF(E110=0,0,F110*100/E110)</f>
        <v>100</v>
      </c>
      <c r="I110" s="39">
        <f>SUM(I104:I109)</f>
        <v>0</v>
      </c>
      <c r="J110" s="33">
        <f>-D110+I110</f>
        <v>0</v>
      </c>
      <c r="K110" s="33"/>
      <c r="L110" s="33">
        <f>IF(I110=0,0,J110*100/I110)</f>
        <v>0</v>
      </c>
      <c r="M110" s="37">
        <f>SUM(M104:M109)</f>
        <v>0</v>
      </c>
      <c r="N110" s="33">
        <f>SUM(N104:N109)</f>
        <v>5601</v>
      </c>
      <c r="O110" s="33">
        <f>-M110+N110</f>
        <v>5601</v>
      </c>
      <c r="P110" s="33"/>
      <c r="Q110" s="33">
        <f>IF(N110=0,0,O110*100/N110)</f>
        <v>100</v>
      </c>
      <c r="R110" s="39">
        <f>SUM(R104:R109)</f>
        <v>0</v>
      </c>
      <c r="S110" s="33">
        <f>-M110+R110</f>
        <v>0</v>
      </c>
      <c r="T110" s="34"/>
      <c r="U110" s="34">
        <f>IF(R110=0,0,S110*100/R110)</f>
        <v>0</v>
      </c>
    </row>
    <row r="111" spans="1:21" collapsed="1">
      <c r="A111" s="22"/>
      <c r="B111" s="41" t="s">
        <v>17</v>
      </c>
      <c r="C111" s="42"/>
      <c r="D111" s="43">
        <f ca="1">SUM(OSRRefD18_1x_0)</f>
        <v>16810976.599999998</v>
      </c>
      <c r="E111" s="44">
        <f ca="1">SUM(OSRRefE18_1x_0)</f>
        <v>18039999.982255001</v>
      </c>
      <c r="F111" s="44">
        <f t="shared" ref="F111:F174" ca="1" si="34">-D111+E111</f>
        <v>1229023.3822550029</v>
      </c>
      <c r="G111" s="44"/>
      <c r="H111" s="45">
        <f t="shared" ref="H111:H174" ca="1" si="35">IF(E111=0,0,F111*100/E111)</f>
        <v>6.8127682010195594</v>
      </c>
      <c r="I111" s="46">
        <f ca="1">SUM(OSRRefI18_1x_0)</f>
        <v>16251061.949999997</v>
      </c>
      <c r="J111" s="44">
        <f t="shared" ref="J111:J174" ca="1" si="36">-D111+I111</f>
        <v>-559914.65000000037</v>
      </c>
      <c r="K111" s="44"/>
      <c r="L111" s="44">
        <f t="shared" ref="L111:L174" ca="1" si="37">IF(I111=0,0,J111*100/I111)</f>
        <v>-3.4454034556184832</v>
      </c>
      <c r="M111" s="43">
        <f ca="1">SUM(OSRRefM18_1x_0)</f>
        <v>16810976.599999998</v>
      </c>
      <c r="N111" s="44">
        <f ca="1">SUM(OSRRefN18_1x_0)</f>
        <v>18039999.982255001</v>
      </c>
      <c r="O111" s="44">
        <f t="shared" ref="O111:O174" ca="1" si="38">-M111+N111</f>
        <v>1229023.3822550029</v>
      </c>
      <c r="P111" s="44"/>
      <c r="Q111" s="44">
        <f t="shared" ref="Q111:Q174" ca="1" si="39">IF(N111=0,0,O111*100/N111)</f>
        <v>6.8127682010195594</v>
      </c>
      <c r="R111" s="46">
        <f ca="1">SUM(OSRRefR18_1x_0)</f>
        <v>16251061.949999997</v>
      </c>
      <c r="S111" s="44">
        <f t="shared" ref="S111:S174" ca="1" si="40">-M111+R111</f>
        <v>-559914.65000000037</v>
      </c>
      <c r="T111" s="47"/>
      <c r="U111" s="47">
        <f t="shared" ref="U111:U174" ca="1" si="41">IF(R111=0,0,S111*100/R111)</f>
        <v>-3.4454034556184832</v>
      </c>
    </row>
    <row r="112" spans="1:21" hidden="1" outlineLevel="2">
      <c r="A112" s="22"/>
      <c r="B112" s="28">
        <v>6017</v>
      </c>
      <c r="C112" s="29" t="s">
        <v>141</v>
      </c>
      <c r="D112" s="5">
        <f>N(116637.22)</f>
        <v>116637.22</v>
      </c>
      <c r="E112" s="30">
        <f>N(105000)</f>
        <v>105000</v>
      </c>
      <c r="F112" s="30">
        <f t="shared" si="34"/>
        <v>-11637.220000000001</v>
      </c>
      <c r="G112" s="30"/>
      <c r="H112" s="31">
        <f t="shared" si="35"/>
        <v>-11.083066666666667</v>
      </c>
      <c r="I112" s="32">
        <f>N(107131.08)</f>
        <v>107131.08</v>
      </c>
      <c r="J112" s="30">
        <f t="shared" si="36"/>
        <v>-9506.14</v>
      </c>
      <c r="K112" s="30"/>
      <c r="L112" s="30">
        <f t="shared" si="37"/>
        <v>-8.8733726944599081</v>
      </c>
      <c r="M112" s="5">
        <f>N(116637.22)</f>
        <v>116637.22</v>
      </c>
      <c r="N112" s="30">
        <f>N(105000)</f>
        <v>105000</v>
      </c>
      <c r="O112" s="30">
        <f t="shared" si="38"/>
        <v>-11637.220000000001</v>
      </c>
      <c r="P112" s="30"/>
      <c r="Q112" s="30">
        <f t="shared" si="39"/>
        <v>-11.083066666666667</v>
      </c>
      <c r="R112" s="32">
        <f>N(107131.08)</f>
        <v>107131.08</v>
      </c>
      <c r="S112" s="33">
        <f t="shared" si="40"/>
        <v>-9506.14</v>
      </c>
      <c r="T112" s="34"/>
      <c r="U112" s="34">
        <f t="shared" si="41"/>
        <v>-8.8733726944599081</v>
      </c>
    </row>
    <row r="113" spans="1:21" hidden="1" outlineLevel="1">
      <c r="A113" s="22"/>
      <c r="B113" s="35" t="str">
        <f>"    "&amp;"Av- og nedskrivning"</f>
        <v xml:space="preserve">    Av- og nedskrivning</v>
      </c>
      <c r="C113" s="36"/>
      <c r="D113" s="37">
        <f>SUM(D112)</f>
        <v>116637.22</v>
      </c>
      <c r="E113" s="33">
        <f>SUM(E112)</f>
        <v>105000</v>
      </c>
      <c r="F113" s="33">
        <f t="shared" si="34"/>
        <v>-11637.220000000001</v>
      </c>
      <c r="G113" s="33"/>
      <c r="H113" s="38">
        <f t="shared" si="35"/>
        <v>-11.083066666666667</v>
      </c>
      <c r="I113" s="39">
        <f>SUM(I112)</f>
        <v>107131.08</v>
      </c>
      <c r="J113" s="33">
        <f t="shared" si="36"/>
        <v>-9506.14</v>
      </c>
      <c r="K113" s="33"/>
      <c r="L113" s="33">
        <f t="shared" si="37"/>
        <v>-8.8733726944599081</v>
      </c>
      <c r="M113" s="37">
        <f>SUM(M112)</f>
        <v>116637.22</v>
      </c>
      <c r="N113" s="33">
        <f>SUM(N112)</f>
        <v>105000</v>
      </c>
      <c r="O113" s="33">
        <f t="shared" si="38"/>
        <v>-11637.220000000001</v>
      </c>
      <c r="P113" s="33"/>
      <c r="Q113" s="33">
        <f t="shared" si="39"/>
        <v>-11.083066666666667</v>
      </c>
      <c r="R113" s="39">
        <f>SUM(R112)</f>
        <v>107131.08</v>
      </c>
      <c r="S113" s="33">
        <f t="shared" si="40"/>
        <v>-9506.14</v>
      </c>
      <c r="T113" s="34"/>
      <c r="U113" s="34">
        <f t="shared" si="41"/>
        <v>-8.8733726944599081</v>
      </c>
    </row>
    <row r="114" spans="1:21" hidden="1" outlineLevel="2">
      <c r="A114" s="22"/>
      <c r="B114" s="28">
        <v>6300</v>
      </c>
      <c r="C114" s="29" t="s">
        <v>142</v>
      </c>
      <c r="D114" s="5">
        <f>N(681299.55)</f>
        <v>681299.55</v>
      </c>
      <c r="E114" s="30">
        <f>N(616500)</f>
        <v>616500</v>
      </c>
      <c r="F114" s="30">
        <f t="shared" si="34"/>
        <v>-64799.550000000047</v>
      </c>
      <c r="G114" s="30"/>
      <c r="H114" s="31">
        <f t="shared" si="35"/>
        <v>-10.510875912408766</v>
      </c>
      <c r="I114" s="32">
        <f>N(629661.38)</f>
        <v>629661.38</v>
      </c>
      <c r="J114" s="30">
        <f t="shared" si="36"/>
        <v>-51638.170000000042</v>
      </c>
      <c r="K114" s="30"/>
      <c r="L114" s="30">
        <f t="shared" si="37"/>
        <v>-8.2009428623365839</v>
      </c>
      <c r="M114" s="5">
        <f>N(681299.55)</f>
        <v>681299.55</v>
      </c>
      <c r="N114" s="30">
        <f>N(616500)</f>
        <v>616500</v>
      </c>
      <c r="O114" s="30">
        <f t="shared" si="38"/>
        <v>-64799.550000000047</v>
      </c>
      <c r="P114" s="30"/>
      <c r="Q114" s="30">
        <f t="shared" si="39"/>
        <v>-10.510875912408766</v>
      </c>
      <c r="R114" s="32">
        <f>N(629661.38)</f>
        <v>629661.38</v>
      </c>
      <c r="S114" s="33">
        <f t="shared" si="40"/>
        <v>-51638.170000000042</v>
      </c>
      <c r="T114" s="34"/>
      <c r="U114" s="34">
        <f t="shared" si="41"/>
        <v>-8.2009428623365839</v>
      </c>
    </row>
    <row r="115" spans="1:21" hidden="1" outlineLevel="2">
      <c r="A115" s="22"/>
      <c r="B115" s="28">
        <v>6360</v>
      </c>
      <c r="C115" s="29" t="s">
        <v>144</v>
      </c>
      <c r="D115" s="5">
        <f>N(61357.26)</f>
        <v>61357.26</v>
      </c>
      <c r="E115" s="30">
        <f>N(45000)</f>
        <v>45000</v>
      </c>
      <c r="F115" s="30">
        <f t="shared" si="34"/>
        <v>-16357.260000000002</v>
      </c>
      <c r="G115" s="30"/>
      <c r="H115" s="31">
        <f t="shared" si="35"/>
        <v>-36.349466666666672</v>
      </c>
      <c r="I115" s="32">
        <f>N(55173.13)</f>
        <v>55173.13</v>
      </c>
      <c r="J115" s="30">
        <f t="shared" si="36"/>
        <v>-6184.1300000000047</v>
      </c>
      <c r="K115" s="30"/>
      <c r="L115" s="30">
        <f t="shared" si="37"/>
        <v>-11.208590123489468</v>
      </c>
      <c r="M115" s="5">
        <f>N(61357.26)</f>
        <v>61357.26</v>
      </c>
      <c r="N115" s="30">
        <f>N(45000)</f>
        <v>45000</v>
      </c>
      <c r="O115" s="30">
        <f t="shared" si="38"/>
        <v>-16357.260000000002</v>
      </c>
      <c r="P115" s="30"/>
      <c r="Q115" s="30">
        <f t="shared" si="39"/>
        <v>-36.349466666666672</v>
      </c>
      <c r="R115" s="32">
        <f>N(55173.13)</f>
        <v>55173.13</v>
      </c>
      <c r="S115" s="33">
        <f t="shared" si="40"/>
        <v>-6184.1300000000047</v>
      </c>
      <c r="T115" s="34"/>
      <c r="U115" s="34">
        <f t="shared" si="41"/>
        <v>-11.208590123489468</v>
      </c>
    </row>
    <row r="116" spans="1:21" hidden="1" outlineLevel="2">
      <c r="A116" s="22"/>
      <c r="B116" s="28">
        <v>6390</v>
      </c>
      <c r="C116" s="29" t="s">
        <v>145</v>
      </c>
      <c r="D116" s="5">
        <f>N(3715)</f>
        <v>3715</v>
      </c>
      <c r="E116" s="30">
        <f>N(0)</f>
        <v>0</v>
      </c>
      <c r="F116" s="30">
        <f t="shared" si="34"/>
        <v>-3715</v>
      </c>
      <c r="G116" s="30"/>
      <c r="H116" s="31">
        <f t="shared" si="35"/>
        <v>0</v>
      </c>
      <c r="I116" s="32">
        <f>N(8573.2)</f>
        <v>8573.2000000000007</v>
      </c>
      <c r="J116" s="30">
        <f t="shared" si="36"/>
        <v>4858.2000000000007</v>
      </c>
      <c r="K116" s="30"/>
      <c r="L116" s="30">
        <f t="shared" si="37"/>
        <v>56.667288760322869</v>
      </c>
      <c r="M116" s="5">
        <f>N(3715)</f>
        <v>3715</v>
      </c>
      <c r="N116" s="30">
        <f>N(0)</f>
        <v>0</v>
      </c>
      <c r="O116" s="30">
        <f t="shared" si="38"/>
        <v>-3715</v>
      </c>
      <c r="P116" s="30"/>
      <c r="Q116" s="30">
        <f t="shared" si="39"/>
        <v>0</v>
      </c>
      <c r="R116" s="32">
        <f>N(8573.2)</f>
        <v>8573.2000000000007</v>
      </c>
      <c r="S116" s="33">
        <f t="shared" si="40"/>
        <v>4858.2000000000007</v>
      </c>
      <c r="T116" s="34"/>
      <c r="U116" s="34">
        <f t="shared" si="41"/>
        <v>56.667288760322869</v>
      </c>
    </row>
    <row r="117" spans="1:21" hidden="1" outlineLevel="2">
      <c r="A117" s="22"/>
      <c r="B117" s="28">
        <v>6490</v>
      </c>
      <c r="C117" s="29" t="s">
        <v>146</v>
      </c>
      <c r="D117" s="5">
        <f>N(41585)</f>
        <v>41585</v>
      </c>
      <c r="E117" s="30">
        <f>N(1500000)</f>
        <v>1500000</v>
      </c>
      <c r="F117" s="30">
        <f t="shared" si="34"/>
        <v>1458415</v>
      </c>
      <c r="G117" s="30"/>
      <c r="H117" s="31">
        <f t="shared" si="35"/>
        <v>97.227666666666664</v>
      </c>
      <c r="I117" s="32">
        <f>N(26500)</f>
        <v>26500</v>
      </c>
      <c r="J117" s="30">
        <f t="shared" si="36"/>
        <v>-15085</v>
      </c>
      <c r="K117" s="30"/>
      <c r="L117" s="30">
        <f t="shared" si="37"/>
        <v>-56.924528301886795</v>
      </c>
      <c r="M117" s="5">
        <f>N(41585)</f>
        <v>41585</v>
      </c>
      <c r="N117" s="30">
        <f>N(1500000)</f>
        <v>1500000</v>
      </c>
      <c r="O117" s="30">
        <f t="shared" si="38"/>
        <v>1458415</v>
      </c>
      <c r="P117" s="30"/>
      <c r="Q117" s="30">
        <f t="shared" si="39"/>
        <v>97.227666666666664</v>
      </c>
      <c r="R117" s="32">
        <f>N(26500)</f>
        <v>26500</v>
      </c>
      <c r="S117" s="33">
        <f t="shared" si="40"/>
        <v>-15085</v>
      </c>
      <c r="T117" s="34"/>
      <c r="U117" s="34">
        <f t="shared" si="41"/>
        <v>-56.924528301886795</v>
      </c>
    </row>
    <row r="118" spans="1:21" hidden="1" outlineLevel="1">
      <c r="A118" s="22"/>
      <c r="B118" s="35" t="str">
        <f>"    "&amp;"Kostnad lokaler"</f>
        <v xml:space="preserve">    Kostnad lokaler</v>
      </c>
      <c r="C118" s="36"/>
      <c r="D118" s="37">
        <f>SUM(D114:D117)</f>
        <v>787956.81</v>
      </c>
      <c r="E118" s="33">
        <f>SUM(E114:E117)</f>
        <v>2161500</v>
      </c>
      <c r="F118" s="33">
        <f t="shared" si="34"/>
        <v>1373543.19</v>
      </c>
      <c r="G118" s="33"/>
      <c r="H118" s="38">
        <f t="shared" si="35"/>
        <v>63.545833448993754</v>
      </c>
      <c r="I118" s="39">
        <f>SUM(I114:I117)</f>
        <v>719907.71</v>
      </c>
      <c r="J118" s="33">
        <f t="shared" si="36"/>
        <v>-68049.100000000093</v>
      </c>
      <c r="K118" s="33"/>
      <c r="L118" s="33">
        <f t="shared" si="37"/>
        <v>-9.4524755124514641</v>
      </c>
      <c r="M118" s="37">
        <f>SUM(M114:M117)</f>
        <v>787956.81</v>
      </c>
      <c r="N118" s="33">
        <f>SUM(N114:N117)</f>
        <v>2161500</v>
      </c>
      <c r="O118" s="33">
        <f t="shared" si="38"/>
        <v>1373543.19</v>
      </c>
      <c r="P118" s="33"/>
      <c r="Q118" s="33">
        <f t="shared" si="39"/>
        <v>63.545833448993754</v>
      </c>
      <c r="R118" s="39">
        <f>SUM(R114:R117)</f>
        <v>719907.71</v>
      </c>
      <c r="S118" s="33">
        <f t="shared" si="40"/>
        <v>-68049.100000000093</v>
      </c>
      <c r="T118" s="34"/>
      <c r="U118" s="34">
        <f t="shared" si="41"/>
        <v>-9.4524755124514641</v>
      </c>
    </row>
    <row r="119" spans="1:21" hidden="1" outlineLevel="2">
      <c r="A119" s="22"/>
      <c r="B119" s="28">
        <v>6405</v>
      </c>
      <c r="C119" s="29" t="s">
        <v>147</v>
      </c>
      <c r="D119" s="5">
        <f>N(317318.53)</f>
        <v>317318.53000000003</v>
      </c>
      <c r="E119" s="30">
        <f>N(170000)</f>
        <v>170000</v>
      </c>
      <c r="F119" s="30">
        <f t="shared" si="34"/>
        <v>-147318.53000000003</v>
      </c>
      <c r="G119" s="30"/>
      <c r="H119" s="31">
        <f t="shared" si="35"/>
        <v>-86.657958823529427</v>
      </c>
      <c r="I119" s="32">
        <f>N(60096)</f>
        <v>60096</v>
      </c>
      <c r="J119" s="30">
        <f t="shared" si="36"/>
        <v>-257222.53000000003</v>
      </c>
      <c r="K119" s="30"/>
      <c r="L119" s="30">
        <f t="shared" si="37"/>
        <v>-428.01938564962734</v>
      </c>
      <c r="M119" s="5">
        <f>N(317318.53)</f>
        <v>317318.53000000003</v>
      </c>
      <c r="N119" s="30">
        <f>N(170000)</f>
        <v>170000</v>
      </c>
      <c r="O119" s="30">
        <f t="shared" si="38"/>
        <v>-147318.53000000003</v>
      </c>
      <c r="P119" s="30"/>
      <c r="Q119" s="30">
        <f t="shared" si="39"/>
        <v>-86.657958823529427</v>
      </c>
      <c r="R119" s="32">
        <f>N(60096)</f>
        <v>60096</v>
      </c>
      <c r="S119" s="33">
        <f t="shared" si="40"/>
        <v>-257222.53000000003</v>
      </c>
      <c r="T119" s="34"/>
      <c r="U119" s="34">
        <f t="shared" si="41"/>
        <v>-428.01938564962734</v>
      </c>
    </row>
    <row r="120" spans="1:21" hidden="1" outlineLevel="2">
      <c r="A120" s="22"/>
      <c r="B120" s="28">
        <v>6410</v>
      </c>
      <c r="C120" s="29" t="s">
        <v>148</v>
      </c>
      <c r="D120" s="5">
        <f>N(6209)</f>
        <v>6209</v>
      </c>
      <c r="E120" s="30">
        <f>N(0)</f>
        <v>0</v>
      </c>
      <c r="F120" s="30">
        <f t="shared" si="34"/>
        <v>-6209</v>
      </c>
      <c r="G120" s="30"/>
      <c r="H120" s="31">
        <f t="shared" si="35"/>
        <v>0</v>
      </c>
      <c r="I120" s="32">
        <f>N(0)</f>
        <v>0</v>
      </c>
      <c r="J120" s="30">
        <f t="shared" si="36"/>
        <v>-6209</v>
      </c>
      <c r="K120" s="30"/>
      <c r="L120" s="30">
        <f t="shared" si="37"/>
        <v>0</v>
      </c>
      <c r="M120" s="5">
        <f>N(6209)</f>
        <v>6209</v>
      </c>
      <c r="N120" s="30">
        <f>N(0)</f>
        <v>0</v>
      </c>
      <c r="O120" s="30">
        <f t="shared" si="38"/>
        <v>-6209</v>
      </c>
      <c r="P120" s="30"/>
      <c r="Q120" s="30">
        <f t="shared" si="39"/>
        <v>0</v>
      </c>
      <c r="R120" s="32">
        <f>N(0)</f>
        <v>0</v>
      </c>
      <c r="S120" s="33">
        <f t="shared" si="40"/>
        <v>-6209</v>
      </c>
      <c r="T120" s="34"/>
      <c r="U120" s="34">
        <f t="shared" si="41"/>
        <v>0</v>
      </c>
    </row>
    <row r="121" spans="1:21" hidden="1" outlineLevel="2">
      <c r="A121" s="22"/>
      <c r="B121" s="28">
        <v>6420</v>
      </c>
      <c r="C121" s="29" t="s">
        <v>149</v>
      </c>
      <c r="D121" s="5">
        <f>N(1202152.26)</f>
        <v>1202152.26</v>
      </c>
      <c r="E121" s="30">
        <f>N(1178000.01)</f>
        <v>1178000.01</v>
      </c>
      <c r="F121" s="30">
        <f t="shared" si="34"/>
        <v>-24152.25</v>
      </c>
      <c r="G121" s="30"/>
      <c r="H121" s="31">
        <f t="shared" si="35"/>
        <v>-2.0502758739365374</v>
      </c>
      <c r="I121" s="32">
        <f>N(1111885.6)</f>
        <v>1111885.6000000001</v>
      </c>
      <c r="J121" s="30">
        <f t="shared" si="36"/>
        <v>-90266.659999999916</v>
      </c>
      <c r="K121" s="30"/>
      <c r="L121" s="30">
        <f t="shared" si="37"/>
        <v>-8.1183405918738334</v>
      </c>
      <c r="M121" s="5">
        <f>N(1202152.26)</f>
        <v>1202152.26</v>
      </c>
      <c r="N121" s="30">
        <f>N(1178000.01)</f>
        <v>1178000.01</v>
      </c>
      <c r="O121" s="30">
        <f t="shared" si="38"/>
        <v>-24152.25</v>
      </c>
      <c r="P121" s="30"/>
      <c r="Q121" s="30">
        <f t="shared" si="39"/>
        <v>-2.0502758739365374</v>
      </c>
      <c r="R121" s="32">
        <f>N(1111885.6)</f>
        <v>1111885.6000000001</v>
      </c>
      <c r="S121" s="33">
        <f t="shared" si="40"/>
        <v>-90266.659999999916</v>
      </c>
      <c r="T121" s="34"/>
      <c r="U121" s="34">
        <f t="shared" si="41"/>
        <v>-8.1183405918738334</v>
      </c>
    </row>
    <row r="122" spans="1:21" hidden="1" outlineLevel="2">
      <c r="A122" s="22"/>
      <c r="B122" s="28">
        <v>6421</v>
      </c>
      <c r="C122" s="29" t="s">
        <v>150</v>
      </c>
      <c r="D122" s="5">
        <f>N(13611.5)</f>
        <v>13611.5</v>
      </c>
      <c r="E122" s="30">
        <f>N(0)</f>
        <v>0</v>
      </c>
      <c r="F122" s="30">
        <f t="shared" si="34"/>
        <v>-13611.5</v>
      </c>
      <c r="G122" s="30"/>
      <c r="H122" s="31">
        <f t="shared" si="35"/>
        <v>0</v>
      </c>
      <c r="I122" s="32">
        <f>N(3577.2)</f>
        <v>3577.2</v>
      </c>
      <c r="J122" s="30">
        <f t="shared" si="36"/>
        <v>-10034.299999999999</v>
      </c>
      <c r="K122" s="30"/>
      <c r="L122" s="30">
        <f t="shared" si="37"/>
        <v>-280.5071005255507</v>
      </c>
      <c r="M122" s="5">
        <f>N(13611.5)</f>
        <v>13611.5</v>
      </c>
      <c r="N122" s="30">
        <f>N(0)</f>
        <v>0</v>
      </c>
      <c r="O122" s="30">
        <f t="shared" si="38"/>
        <v>-13611.5</v>
      </c>
      <c r="P122" s="30"/>
      <c r="Q122" s="30">
        <f t="shared" si="39"/>
        <v>0</v>
      </c>
      <c r="R122" s="32">
        <f>N(3577.2)</f>
        <v>3577.2</v>
      </c>
      <c r="S122" s="33">
        <f t="shared" si="40"/>
        <v>-10034.299999999999</v>
      </c>
      <c r="T122" s="34"/>
      <c r="U122" s="34">
        <f t="shared" si="41"/>
        <v>-280.5071005255507</v>
      </c>
    </row>
    <row r="123" spans="1:21" hidden="1" outlineLevel="2">
      <c r="A123" s="22"/>
      <c r="B123" s="28">
        <v>6430</v>
      </c>
      <c r="C123" s="29" t="s">
        <v>151</v>
      </c>
      <c r="D123" s="5">
        <f>N(30597.24)</f>
        <v>30597.24</v>
      </c>
      <c r="E123" s="30">
        <f>N(5000)</f>
        <v>5000</v>
      </c>
      <c r="F123" s="30">
        <f t="shared" si="34"/>
        <v>-25597.24</v>
      </c>
      <c r="G123" s="30"/>
      <c r="H123" s="31">
        <f t="shared" si="35"/>
        <v>-511.94479999999999</v>
      </c>
      <c r="I123" s="32">
        <f>N(55085.1)</f>
        <v>55085.1</v>
      </c>
      <c r="J123" s="30">
        <f t="shared" si="36"/>
        <v>24487.859999999997</v>
      </c>
      <c r="K123" s="30"/>
      <c r="L123" s="30">
        <f t="shared" si="37"/>
        <v>44.454598430428547</v>
      </c>
      <c r="M123" s="5">
        <f>N(30597.24)</f>
        <v>30597.24</v>
      </c>
      <c r="N123" s="30">
        <f>N(5000)</f>
        <v>5000</v>
      </c>
      <c r="O123" s="30">
        <f t="shared" si="38"/>
        <v>-25597.24</v>
      </c>
      <c r="P123" s="30"/>
      <c r="Q123" s="30">
        <f t="shared" si="39"/>
        <v>-511.94479999999999</v>
      </c>
      <c r="R123" s="32">
        <f>N(55085.1)</f>
        <v>55085.1</v>
      </c>
      <c r="S123" s="33">
        <f t="shared" si="40"/>
        <v>24487.859999999997</v>
      </c>
      <c r="T123" s="34"/>
      <c r="U123" s="34">
        <f t="shared" si="41"/>
        <v>44.454598430428547</v>
      </c>
    </row>
    <row r="124" spans="1:21" hidden="1" outlineLevel="1">
      <c r="A124" s="22"/>
      <c r="B124" s="35" t="str">
        <f>"    "&amp;"Leie maskiner, inventar o.l."</f>
        <v xml:space="preserve">    Leie maskiner, inventar o.l.</v>
      </c>
      <c r="C124" s="36"/>
      <c r="D124" s="37">
        <f>SUM(D119:D123)</f>
        <v>1569888.53</v>
      </c>
      <c r="E124" s="33">
        <f>SUM(E119:E123)</f>
        <v>1353000.01</v>
      </c>
      <c r="F124" s="33">
        <f t="shared" si="34"/>
        <v>-216888.52000000002</v>
      </c>
      <c r="G124" s="33"/>
      <c r="H124" s="38">
        <f t="shared" si="35"/>
        <v>-16.030193525275731</v>
      </c>
      <c r="I124" s="39">
        <f>SUM(I119:I123)</f>
        <v>1230643.9000000001</v>
      </c>
      <c r="J124" s="33">
        <f t="shared" si="36"/>
        <v>-339244.62999999989</v>
      </c>
      <c r="K124" s="33"/>
      <c r="L124" s="33">
        <f t="shared" si="37"/>
        <v>-27.566433311862173</v>
      </c>
      <c r="M124" s="37">
        <f>SUM(M119:M123)</f>
        <v>1569888.53</v>
      </c>
      <c r="N124" s="33">
        <f>SUM(N119:N123)</f>
        <v>1353000.01</v>
      </c>
      <c r="O124" s="33">
        <f t="shared" si="38"/>
        <v>-216888.52000000002</v>
      </c>
      <c r="P124" s="33"/>
      <c r="Q124" s="33">
        <f t="shared" si="39"/>
        <v>-16.030193525275731</v>
      </c>
      <c r="R124" s="39">
        <f>SUM(R119:R123)</f>
        <v>1230643.9000000001</v>
      </c>
      <c r="S124" s="33">
        <f t="shared" si="40"/>
        <v>-339244.62999999989</v>
      </c>
      <c r="T124" s="34"/>
      <c r="U124" s="34">
        <f t="shared" si="41"/>
        <v>-27.566433311862173</v>
      </c>
    </row>
    <row r="125" spans="1:21" hidden="1" outlineLevel="2">
      <c r="A125" s="22"/>
      <c r="B125" s="28">
        <v>6540</v>
      </c>
      <c r="C125" s="29" t="s">
        <v>152</v>
      </c>
      <c r="D125" s="5">
        <f>N(11779.1)</f>
        <v>11779.1</v>
      </c>
      <c r="E125" s="30">
        <f>N(0)</f>
        <v>0</v>
      </c>
      <c r="F125" s="30">
        <f t="shared" si="34"/>
        <v>-11779.1</v>
      </c>
      <c r="G125" s="30"/>
      <c r="H125" s="31">
        <f t="shared" si="35"/>
        <v>0</v>
      </c>
      <c r="I125" s="32">
        <f>N(19838.4)</f>
        <v>19838.400000000001</v>
      </c>
      <c r="J125" s="30">
        <f t="shared" si="36"/>
        <v>8059.3000000000011</v>
      </c>
      <c r="K125" s="30"/>
      <c r="L125" s="30">
        <f t="shared" si="37"/>
        <v>40.624747963545452</v>
      </c>
      <c r="M125" s="5">
        <f>N(11779.1)</f>
        <v>11779.1</v>
      </c>
      <c r="N125" s="30">
        <f>N(0)</f>
        <v>0</v>
      </c>
      <c r="O125" s="30">
        <f t="shared" si="38"/>
        <v>-11779.1</v>
      </c>
      <c r="P125" s="30"/>
      <c r="Q125" s="30">
        <f t="shared" si="39"/>
        <v>0</v>
      </c>
      <c r="R125" s="32">
        <f>N(19838.4)</f>
        <v>19838.400000000001</v>
      </c>
      <c r="S125" s="33">
        <f t="shared" si="40"/>
        <v>8059.3000000000011</v>
      </c>
      <c r="T125" s="34"/>
      <c r="U125" s="34">
        <f t="shared" si="41"/>
        <v>40.624747963545452</v>
      </c>
    </row>
    <row r="126" spans="1:21" hidden="1" outlineLevel="2">
      <c r="A126" s="22"/>
      <c r="B126" s="28">
        <v>6550</v>
      </c>
      <c r="C126" s="29" t="s">
        <v>153</v>
      </c>
      <c r="D126" s="5">
        <f>N(99957.78)</f>
        <v>99957.78</v>
      </c>
      <c r="E126" s="30">
        <f>N(11500)</f>
        <v>11500</v>
      </c>
      <c r="F126" s="30">
        <f t="shared" si="34"/>
        <v>-88457.78</v>
      </c>
      <c r="G126" s="30"/>
      <c r="H126" s="31">
        <f t="shared" si="35"/>
        <v>-769.19808695652171</v>
      </c>
      <c r="I126" s="32">
        <f>N(51188.88)</f>
        <v>51188.88</v>
      </c>
      <c r="J126" s="30">
        <f t="shared" si="36"/>
        <v>-48768.9</v>
      </c>
      <c r="K126" s="30"/>
      <c r="L126" s="30">
        <f t="shared" si="37"/>
        <v>-95.272449797690442</v>
      </c>
      <c r="M126" s="5">
        <f>N(99957.78)</f>
        <v>99957.78</v>
      </c>
      <c r="N126" s="30">
        <f>N(11500)</f>
        <v>11500</v>
      </c>
      <c r="O126" s="30">
        <f t="shared" si="38"/>
        <v>-88457.78</v>
      </c>
      <c r="P126" s="30"/>
      <c r="Q126" s="30">
        <f t="shared" si="39"/>
        <v>-769.19808695652171</v>
      </c>
      <c r="R126" s="32">
        <f>N(51188.88)</f>
        <v>51188.88</v>
      </c>
      <c r="S126" s="33">
        <f t="shared" si="40"/>
        <v>-48768.9</v>
      </c>
      <c r="T126" s="34"/>
      <c r="U126" s="34">
        <f t="shared" si="41"/>
        <v>-95.272449797690442</v>
      </c>
    </row>
    <row r="127" spans="1:21" hidden="1" outlineLevel="2">
      <c r="A127" s="22"/>
      <c r="B127" s="28">
        <v>6551</v>
      </c>
      <c r="C127" s="29" t="s">
        <v>154</v>
      </c>
      <c r="D127" s="5">
        <f>N(176465.23)</f>
        <v>176465.23</v>
      </c>
      <c r="E127" s="30">
        <f>N(99200)</f>
        <v>99200</v>
      </c>
      <c r="F127" s="30">
        <f t="shared" si="34"/>
        <v>-77265.23000000001</v>
      </c>
      <c r="G127" s="30"/>
      <c r="H127" s="31">
        <f t="shared" si="35"/>
        <v>-77.888336693548396</v>
      </c>
      <c r="I127" s="32">
        <f>N(96527)</f>
        <v>96527</v>
      </c>
      <c r="J127" s="30">
        <f t="shared" si="36"/>
        <v>-79938.23000000001</v>
      </c>
      <c r="K127" s="30"/>
      <c r="L127" s="30">
        <f t="shared" si="37"/>
        <v>-82.814373180560892</v>
      </c>
      <c r="M127" s="5">
        <f>N(176465.23)</f>
        <v>176465.23</v>
      </c>
      <c r="N127" s="30">
        <f>N(99200)</f>
        <v>99200</v>
      </c>
      <c r="O127" s="30">
        <f t="shared" si="38"/>
        <v>-77265.23000000001</v>
      </c>
      <c r="P127" s="30"/>
      <c r="Q127" s="30">
        <f t="shared" si="39"/>
        <v>-77.888336693548396</v>
      </c>
      <c r="R127" s="32">
        <f>N(96527)</f>
        <v>96527</v>
      </c>
      <c r="S127" s="33">
        <f t="shared" si="40"/>
        <v>-79938.23000000001</v>
      </c>
      <c r="T127" s="34"/>
      <c r="U127" s="34">
        <f t="shared" si="41"/>
        <v>-82.814373180560892</v>
      </c>
    </row>
    <row r="128" spans="1:21" hidden="1" outlineLevel="2">
      <c r="A128" s="22"/>
      <c r="B128" s="28">
        <v>6590</v>
      </c>
      <c r="C128" s="29" t="s">
        <v>155</v>
      </c>
      <c r="D128" s="5">
        <f>N(0)</f>
        <v>0</v>
      </c>
      <c r="E128" s="30">
        <f>N(20000)</f>
        <v>20000</v>
      </c>
      <c r="F128" s="30">
        <f t="shared" si="34"/>
        <v>20000</v>
      </c>
      <c r="G128" s="30"/>
      <c r="H128" s="31">
        <f t="shared" si="35"/>
        <v>100</v>
      </c>
      <c r="I128" s="32">
        <f>N(12745)</f>
        <v>12745</v>
      </c>
      <c r="J128" s="30">
        <f t="shared" si="36"/>
        <v>12745</v>
      </c>
      <c r="K128" s="30"/>
      <c r="L128" s="30">
        <f t="shared" si="37"/>
        <v>100</v>
      </c>
      <c r="M128" s="5">
        <f>N(0)</f>
        <v>0</v>
      </c>
      <c r="N128" s="30">
        <f>N(20000)</f>
        <v>20000</v>
      </c>
      <c r="O128" s="30">
        <f t="shared" si="38"/>
        <v>20000</v>
      </c>
      <c r="P128" s="30"/>
      <c r="Q128" s="30">
        <f t="shared" si="39"/>
        <v>100</v>
      </c>
      <c r="R128" s="32">
        <f>N(12745)</f>
        <v>12745</v>
      </c>
      <c r="S128" s="33">
        <f t="shared" si="40"/>
        <v>12745</v>
      </c>
      <c r="T128" s="34"/>
      <c r="U128" s="34">
        <f t="shared" si="41"/>
        <v>100</v>
      </c>
    </row>
    <row r="129" spans="1:21" hidden="1" outlineLevel="1">
      <c r="A129" s="22"/>
      <c r="B129" s="35" t="str">
        <f>"    "&amp;"Verktøy, inventar og driftsmateriell"</f>
        <v xml:space="preserve">    Verktøy, inventar og driftsmateriell</v>
      </c>
      <c r="C129" s="36"/>
      <c r="D129" s="37">
        <f>SUM(D125:D128)</f>
        <v>288202.11</v>
      </c>
      <c r="E129" s="33">
        <f>SUM(E125:E128)</f>
        <v>130700</v>
      </c>
      <c r="F129" s="33">
        <f t="shared" si="34"/>
        <v>-157502.10999999999</v>
      </c>
      <c r="G129" s="33"/>
      <c r="H129" s="38">
        <f t="shared" si="35"/>
        <v>-120.50658760520274</v>
      </c>
      <c r="I129" s="39">
        <f>SUM(I125:I128)</f>
        <v>180299.28</v>
      </c>
      <c r="J129" s="33">
        <f t="shared" si="36"/>
        <v>-107902.82999999999</v>
      </c>
      <c r="K129" s="33"/>
      <c r="L129" s="33">
        <f t="shared" si="37"/>
        <v>-59.84651186627034</v>
      </c>
      <c r="M129" s="37">
        <f>SUM(M125:M128)</f>
        <v>288202.11</v>
      </c>
      <c r="N129" s="33">
        <f>SUM(N125:N128)</f>
        <v>130700</v>
      </c>
      <c r="O129" s="33">
        <f t="shared" si="38"/>
        <v>-157502.10999999999</v>
      </c>
      <c r="P129" s="33"/>
      <c r="Q129" s="33">
        <f t="shared" si="39"/>
        <v>-120.50658760520274</v>
      </c>
      <c r="R129" s="39">
        <f>SUM(R125:R128)</f>
        <v>180299.28</v>
      </c>
      <c r="S129" s="33">
        <f t="shared" si="40"/>
        <v>-107902.82999999999</v>
      </c>
      <c r="T129" s="34"/>
      <c r="U129" s="34">
        <f t="shared" si="41"/>
        <v>-59.84651186627034</v>
      </c>
    </row>
    <row r="130" spans="1:21" hidden="1" outlineLevel="2">
      <c r="A130" s="22"/>
      <c r="B130" s="28">
        <v>6701</v>
      </c>
      <c r="C130" s="29" t="s">
        <v>156</v>
      </c>
      <c r="D130" s="5">
        <f>N(234742.15)</f>
        <v>234742.15</v>
      </c>
      <c r="E130" s="30">
        <f>N(250000)</f>
        <v>250000</v>
      </c>
      <c r="F130" s="30">
        <f t="shared" si="34"/>
        <v>15257.850000000006</v>
      </c>
      <c r="G130" s="30"/>
      <c r="H130" s="31">
        <f t="shared" si="35"/>
        <v>6.1031400000000016</v>
      </c>
      <c r="I130" s="32">
        <f>N(233066.88)</f>
        <v>233066.88</v>
      </c>
      <c r="J130" s="30">
        <f t="shared" si="36"/>
        <v>-1675.2699999999895</v>
      </c>
      <c r="K130" s="30"/>
      <c r="L130" s="30">
        <f t="shared" si="37"/>
        <v>-0.71879367844971775</v>
      </c>
      <c r="M130" s="5">
        <f>N(234742.15)</f>
        <v>234742.15</v>
      </c>
      <c r="N130" s="30">
        <f>N(250000)</f>
        <v>250000</v>
      </c>
      <c r="O130" s="30">
        <f t="shared" si="38"/>
        <v>15257.850000000006</v>
      </c>
      <c r="P130" s="30"/>
      <c r="Q130" s="30">
        <f t="shared" si="39"/>
        <v>6.1031400000000016</v>
      </c>
      <c r="R130" s="32">
        <f>N(233066.88)</f>
        <v>233066.88</v>
      </c>
      <c r="S130" s="33">
        <f t="shared" si="40"/>
        <v>-1675.2699999999895</v>
      </c>
      <c r="T130" s="34"/>
      <c r="U130" s="34">
        <f t="shared" si="41"/>
        <v>-0.71879367844971775</v>
      </c>
    </row>
    <row r="131" spans="1:21" hidden="1" outlineLevel="2">
      <c r="A131" s="22"/>
      <c r="B131" s="28">
        <v>6705</v>
      </c>
      <c r="C131" s="29" t="s">
        <v>157</v>
      </c>
      <c r="D131" s="5">
        <f>N(910725.74)</f>
        <v>910725.74</v>
      </c>
      <c r="E131" s="30">
        <f>N(1035000)</f>
        <v>1035000</v>
      </c>
      <c r="F131" s="30">
        <f t="shared" si="34"/>
        <v>124274.26000000001</v>
      </c>
      <c r="G131" s="30"/>
      <c r="H131" s="31">
        <f t="shared" si="35"/>
        <v>12.007174879227053</v>
      </c>
      <c r="I131" s="32">
        <f>N(876514.07)</f>
        <v>876514.07</v>
      </c>
      <c r="J131" s="30">
        <f t="shared" si="36"/>
        <v>-34211.670000000042</v>
      </c>
      <c r="K131" s="30"/>
      <c r="L131" s="30">
        <f t="shared" si="37"/>
        <v>-3.9031512637327137</v>
      </c>
      <c r="M131" s="5">
        <f>N(910725.74)</f>
        <v>910725.74</v>
      </c>
      <c r="N131" s="30">
        <f>N(1035000)</f>
        <v>1035000</v>
      </c>
      <c r="O131" s="30">
        <f t="shared" si="38"/>
        <v>124274.26000000001</v>
      </c>
      <c r="P131" s="30"/>
      <c r="Q131" s="30">
        <f t="shared" si="39"/>
        <v>12.007174879227053</v>
      </c>
      <c r="R131" s="32">
        <f>N(876514.07)</f>
        <v>876514.07</v>
      </c>
      <c r="S131" s="33">
        <f t="shared" si="40"/>
        <v>-34211.670000000042</v>
      </c>
      <c r="T131" s="34"/>
      <c r="U131" s="34">
        <f t="shared" si="41"/>
        <v>-3.9031512637327137</v>
      </c>
    </row>
    <row r="132" spans="1:21" hidden="1" outlineLevel="2">
      <c r="A132" s="22"/>
      <c r="B132" s="28">
        <v>6790</v>
      </c>
      <c r="C132" s="29" t="s">
        <v>158</v>
      </c>
      <c r="D132" s="5">
        <f>N(658151.79)</f>
        <v>658151.79</v>
      </c>
      <c r="E132" s="30">
        <f>N(1091000)</f>
        <v>1091000</v>
      </c>
      <c r="F132" s="30">
        <f t="shared" si="34"/>
        <v>432848.20999999996</v>
      </c>
      <c r="G132" s="30"/>
      <c r="H132" s="31">
        <f t="shared" si="35"/>
        <v>39.674446379468378</v>
      </c>
      <c r="I132" s="32">
        <f>N(488218.27)</f>
        <v>488218.27</v>
      </c>
      <c r="J132" s="30">
        <f t="shared" si="36"/>
        <v>-169933.52000000002</v>
      </c>
      <c r="K132" s="30"/>
      <c r="L132" s="30">
        <f t="shared" si="37"/>
        <v>-34.806874392472039</v>
      </c>
      <c r="M132" s="5">
        <f>N(658151.79)</f>
        <v>658151.79</v>
      </c>
      <c r="N132" s="30">
        <f>N(1091000)</f>
        <v>1091000</v>
      </c>
      <c r="O132" s="30">
        <f t="shared" si="38"/>
        <v>432848.20999999996</v>
      </c>
      <c r="P132" s="30"/>
      <c r="Q132" s="30">
        <f t="shared" si="39"/>
        <v>39.674446379468378</v>
      </c>
      <c r="R132" s="32">
        <f>N(488218.27)</f>
        <v>488218.27</v>
      </c>
      <c r="S132" s="33">
        <f t="shared" si="40"/>
        <v>-169933.52000000002</v>
      </c>
      <c r="T132" s="34"/>
      <c r="U132" s="34">
        <f t="shared" si="41"/>
        <v>-34.806874392472039</v>
      </c>
    </row>
    <row r="133" spans="1:21" hidden="1" outlineLevel="2">
      <c r="A133" s="22"/>
      <c r="B133" s="28">
        <v>6792</v>
      </c>
      <c r="C133" s="29" t="s">
        <v>159</v>
      </c>
      <c r="D133" s="5">
        <f>N(0)</f>
        <v>0</v>
      </c>
      <c r="E133" s="30">
        <f>N(10000)</f>
        <v>10000</v>
      </c>
      <c r="F133" s="30">
        <f t="shared" si="34"/>
        <v>10000</v>
      </c>
      <c r="G133" s="30"/>
      <c r="H133" s="31">
        <f t="shared" si="35"/>
        <v>100</v>
      </c>
      <c r="I133" s="32">
        <f>N(0)</f>
        <v>0</v>
      </c>
      <c r="J133" s="30">
        <f t="shared" si="36"/>
        <v>0</v>
      </c>
      <c r="K133" s="30"/>
      <c r="L133" s="30">
        <f t="shared" si="37"/>
        <v>0</v>
      </c>
      <c r="M133" s="5">
        <f>N(0)</f>
        <v>0</v>
      </c>
      <c r="N133" s="30">
        <f>N(10000)</f>
        <v>10000</v>
      </c>
      <c r="O133" s="30">
        <f t="shared" si="38"/>
        <v>10000</v>
      </c>
      <c r="P133" s="30"/>
      <c r="Q133" s="30">
        <f t="shared" si="39"/>
        <v>100</v>
      </c>
      <c r="R133" s="32">
        <f>N(0)</f>
        <v>0</v>
      </c>
      <c r="S133" s="33">
        <f t="shared" si="40"/>
        <v>0</v>
      </c>
      <c r="T133" s="34"/>
      <c r="U133" s="34">
        <f t="shared" si="41"/>
        <v>0</v>
      </c>
    </row>
    <row r="134" spans="1:21" hidden="1" outlineLevel="1">
      <c r="A134" s="22"/>
      <c r="B134" s="35" t="str">
        <f>"    "&amp;"Fremmed tjeneste"</f>
        <v xml:space="preserve">    Fremmed tjeneste</v>
      </c>
      <c r="C134" s="36"/>
      <c r="D134" s="37">
        <f>SUM(D130:D133)</f>
        <v>1803619.68</v>
      </c>
      <c r="E134" s="33">
        <f>SUM(E130:E133)</f>
        <v>2386000</v>
      </c>
      <c r="F134" s="33">
        <f t="shared" si="34"/>
        <v>582380.32000000007</v>
      </c>
      <c r="G134" s="33"/>
      <c r="H134" s="38">
        <f t="shared" si="35"/>
        <v>24.40822799664711</v>
      </c>
      <c r="I134" s="39">
        <f>SUM(I130:I133)</f>
        <v>1597799.22</v>
      </c>
      <c r="J134" s="33">
        <f t="shared" si="36"/>
        <v>-205820.45999999996</v>
      </c>
      <c r="K134" s="33"/>
      <c r="L134" s="33">
        <f t="shared" si="37"/>
        <v>-12.881497088226139</v>
      </c>
      <c r="M134" s="37">
        <f>SUM(M130:M133)</f>
        <v>1803619.68</v>
      </c>
      <c r="N134" s="33">
        <f>SUM(N130:N133)</f>
        <v>2386000</v>
      </c>
      <c r="O134" s="33">
        <f t="shared" si="38"/>
        <v>582380.32000000007</v>
      </c>
      <c r="P134" s="33"/>
      <c r="Q134" s="33">
        <f t="shared" si="39"/>
        <v>24.40822799664711</v>
      </c>
      <c r="R134" s="39">
        <f>SUM(R130:R133)</f>
        <v>1597799.22</v>
      </c>
      <c r="S134" s="33">
        <f t="shared" si="40"/>
        <v>-205820.45999999996</v>
      </c>
      <c r="T134" s="34"/>
      <c r="U134" s="34">
        <f t="shared" si="41"/>
        <v>-12.881497088226139</v>
      </c>
    </row>
    <row r="135" spans="1:21" hidden="1" outlineLevel="2">
      <c r="A135" s="22"/>
      <c r="B135" s="28">
        <v>6800</v>
      </c>
      <c r="C135" s="29" t="s">
        <v>160</v>
      </c>
      <c r="D135" s="5">
        <f>N(36993.13)</f>
        <v>36993.129999999997</v>
      </c>
      <c r="E135" s="30">
        <f>N(21000)</f>
        <v>21000</v>
      </c>
      <c r="F135" s="30">
        <f t="shared" si="34"/>
        <v>-15993.129999999997</v>
      </c>
      <c r="G135" s="30"/>
      <c r="H135" s="31">
        <f t="shared" si="35"/>
        <v>-76.157761904761898</v>
      </c>
      <c r="I135" s="32">
        <f>N(32660.06)</f>
        <v>32660.06</v>
      </c>
      <c r="J135" s="30">
        <f t="shared" si="36"/>
        <v>-4333.0699999999961</v>
      </c>
      <c r="K135" s="30"/>
      <c r="L135" s="30">
        <f t="shared" si="37"/>
        <v>-13.267183220116545</v>
      </c>
      <c r="M135" s="5">
        <f>N(36993.13)</f>
        <v>36993.129999999997</v>
      </c>
      <c r="N135" s="30">
        <f>N(21000)</f>
        <v>21000</v>
      </c>
      <c r="O135" s="30">
        <f t="shared" si="38"/>
        <v>-15993.129999999997</v>
      </c>
      <c r="P135" s="30"/>
      <c r="Q135" s="30">
        <f t="shared" si="39"/>
        <v>-76.157761904761898</v>
      </c>
      <c r="R135" s="32">
        <f>N(32660.06)</f>
        <v>32660.06</v>
      </c>
      <c r="S135" s="33">
        <f t="shared" si="40"/>
        <v>-4333.0699999999961</v>
      </c>
      <c r="T135" s="34"/>
      <c r="U135" s="34">
        <f t="shared" si="41"/>
        <v>-13.267183220116545</v>
      </c>
    </row>
    <row r="136" spans="1:21" hidden="1" outlineLevel="2">
      <c r="A136" s="22"/>
      <c r="B136" s="28">
        <v>6820</v>
      </c>
      <c r="C136" s="29" t="s">
        <v>161</v>
      </c>
      <c r="D136" s="5">
        <f>N(229451.63)</f>
        <v>229451.63</v>
      </c>
      <c r="E136" s="30">
        <f>N(80000)</f>
        <v>80000</v>
      </c>
      <c r="F136" s="30">
        <f t="shared" si="34"/>
        <v>-149451.63</v>
      </c>
      <c r="G136" s="30"/>
      <c r="H136" s="31">
        <f t="shared" si="35"/>
        <v>-186.8145375</v>
      </c>
      <c r="I136" s="32">
        <f>N(17102.25)</f>
        <v>17102.25</v>
      </c>
      <c r="J136" s="30">
        <f t="shared" si="36"/>
        <v>-212349.38</v>
      </c>
      <c r="K136" s="30"/>
      <c r="L136" s="30">
        <f t="shared" si="37"/>
        <v>-1241.6458653101199</v>
      </c>
      <c r="M136" s="5">
        <f>N(229451.63)</f>
        <v>229451.63</v>
      </c>
      <c r="N136" s="30">
        <f>N(80000)</f>
        <v>80000</v>
      </c>
      <c r="O136" s="30">
        <f t="shared" si="38"/>
        <v>-149451.63</v>
      </c>
      <c r="P136" s="30"/>
      <c r="Q136" s="30">
        <f t="shared" si="39"/>
        <v>-186.8145375</v>
      </c>
      <c r="R136" s="32">
        <f>N(17102.25)</f>
        <v>17102.25</v>
      </c>
      <c r="S136" s="33">
        <f t="shared" si="40"/>
        <v>-212349.38</v>
      </c>
      <c r="T136" s="34"/>
      <c r="U136" s="34">
        <f t="shared" si="41"/>
        <v>-1241.6458653101199</v>
      </c>
    </row>
    <row r="137" spans="1:21" hidden="1" outlineLevel="2">
      <c r="A137" s="22"/>
      <c r="B137" s="28">
        <v>6840</v>
      </c>
      <c r="C137" s="29" t="s">
        <v>162</v>
      </c>
      <c r="D137" s="5">
        <f>N(30538.1)</f>
        <v>30538.1</v>
      </c>
      <c r="E137" s="30">
        <f>N(43700)</f>
        <v>43700</v>
      </c>
      <c r="F137" s="30">
        <f t="shared" si="34"/>
        <v>13161.900000000001</v>
      </c>
      <c r="G137" s="30"/>
      <c r="H137" s="31">
        <f t="shared" si="35"/>
        <v>30.118764302059503</v>
      </c>
      <c r="I137" s="32">
        <f>N(36602.28)</f>
        <v>36602.28</v>
      </c>
      <c r="J137" s="30">
        <f t="shared" si="36"/>
        <v>6064.18</v>
      </c>
      <c r="K137" s="30"/>
      <c r="L137" s="30">
        <f t="shared" si="37"/>
        <v>16.567765723883866</v>
      </c>
      <c r="M137" s="5">
        <f>N(30538.1)</f>
        <v>30538.1</v>
      </c>
      <c r="N137" s="30">
        <f>N(43700)</f>
        <v>43700</v>
      </c>
      <c r="O137" s="30">
        <f t="shared" si="38"/>
        <v>13161.900000000001</v>
      </c>
      <c r="P137" s="30"/>
      <c r="Q137" s="30">
        <f t="shared" si="39"/>
        <v>30.118764302059503</v>
      </c>
      <c r="R137" s="32">
        <f>N(36602.28)</f>
        <v>36602.28</v>
      </c>
      <c r="S137" s="33">
        <f t="shared" si="40"/>
        <v>6064.18</v>
      </c>
      <c r="T137" s="34"/>
      <c r="U137" s="34">
        <f t="shared" si="41"/>
        <v>16.567765723883866</v>
      </c>
    </row>
    <row r="138" spans="1:21" hidden="1" outlineLevel="2">
      <c r="A138" s="22"/>
      <c r="B138" s="28">
        <v>6860</v>
      </c>
      <c r="C138" s="29" t="s">
        <v>164</v>
      </c>
      <c r="D138" s="5">
        <f>N(257944.54)</f>
        <v>257944.54</v>
      </c>
      <c r="E138" s="30">
        <f>N(635000)</f>
        <v>635000</v>
      </c>
      <c r="F138" s="30">
        <f t="shared" si="34"/>
        <v>377055.45999999996</v>
      </c>
      <c r="G138" s="30"/>
      <c r="H138" s="31">
        <f t="shared" si="35"/>
        <v>59.378812598425199</v>
      </c>
      <c r="I138" s="32">
        <f>N(77058.8)</f>
        <v>77058.8</v>
      </c>
      <c r="J138" s="30">
        <f t="shared" si="36"/>
        <v>-180885.74</v>
      </c>
      <c r="K138" s="30"/>
      <c r="L138" s="30">
        <f t="shared" si="37"/>
        <v>-234.7372915228371</v>
      </c>
      <c r="M138" s="5">
        <f>N(257944.54)</f>
        <v>257944.54</v>
      </c>
      <c r="N138" s="30">
        <f>N(635000)</f>
        <v>635000</v>
      </c>
      <c r="O138" s="30">
        <f t="shared" si="38"/>
        <v>377055.45999999996</v>
      </c>
      <c r="P138" s="30"/>
      <c r="Q138" s="30">
        <f t="shared" si="39"/>
        <v>59.378812598425199</v>
      </c>
      <c r="R138" s="32">
        <f>N(77058.8)</f>
        <v>77058.8</v>
      </c>
      <c r="S138" s="33">
        <f t="shared" si="40"/>
        <v>-180885.74</v>
      </c>
      <c r="T138" s="34"/>
      <c r="U138" s="34">
        <f t="shared" si="41"/>
        <v>-234.7372915228371</v>
      </c>
    </row>
    <row r="139" spans="1:21" hidden="1" outlineLevel="2">
      <c r="A139" s="22"/>
      <c r="B139" s="28">
        <v>6870</v>
      </c>
      <c r="C139" s="29" t="s">
        <v>165</v>
      </c>
      <c r="D139" s="5">
        <f>N(8376.03)</f>
        <v>8376.0300000000007</v>
      </c>
      <c r="E139" s="30">
        <f>N(6000)</f>
        <v>6000</v>
      </c>
      <c r="F139" s="30">
        <f t="shared" si="34"/>
        <v>-2376.0300000000007</v>
      </c>
      <c r="G139" s="30"/>
      <c r="H139" s="31">
        <f t="shared" si="35"/>
        <v>-39.600500000000011</v>
      </c>
      <c r="I139" s="32">
        <f>N(10316.71)</f>
        <v>10316.709999999999</v>
      </c>
      <c r="J139" s="30">
        <f t="shared" si="36"/>
        <v>1940.6799999999985</v>
      </c>
      <c r="K139" s="30"/>
      <c r="L139" s="30">
        <f t="shared" si="37"/>
        <v>18.811035688703072</v>
      </c>
      <c r="M139" s="5">
        <f>N(8376.03)</f>
        <v>8376.0300000000007</v>
      </c>
      <c r="N139" s="30">
        <f>N(6000)</f>
        <v>6000</v>
      </c>
      <c r="O139" s="30">
        <f t="shared" si="38"/>
        <v>-2376.0300000000007</v>
      </c>
      <c r="P139" s="30"/>
      <c r="Q139" s="30">
        <f t="shared" si="39"/>
        <v>-39.600500000000011</v>
      </c>
      <c r="R139" s="32">
        <f>N(10316.71)</f>
        <v>10316.709999999999</v>
      </c>
      <c r="S139" s="33">
        <f t="shared" si="40"/>
        <v>1940.6799999999985</v>
      </c>
      <c r="T139" s="34"/>
      <c r="U139" s="34">
        <f t="shared" si="41"/>
        <v>18.811035688703072</v>
      </c>
    </row>
    <row r="140" spans="1:21" hidden="1" outlineLevel="2">
      <c r="A140" s="22"/>
      <c r="B140" s="28">
        <v>6890</v>
      </c>
      <c r="C140" s="29" t="s">
        <v>166</v>
      </c>
      <c r="D140" s="5">
        <f>N(69053.77)</f>
        <v>69053.77</v>
      </c>
      <c r="E140" s="30">
        <f>N(20000)</f>
        <v>20000</v>
      </c>
      <c r="F140" s="30">
        <f t="shared" si="34"/>
        <v>-49053.770000000004</v>
      </c>
      <c r="G140" s="30"/>
      <c r="H140" s="31">
        <f t="shared" si="35"/>
        <v>-245.26884999999999</v>
      </c>
      <c r="I140" s="32">
        <f>N(46995.06)</f>
        <v>46995.06</v>
      </c>
      <c r="J140" s="30">
        <f t="shared" si="36"/>
        <v>-22058.710000000006</v>
      </c>
      <c r="K140" s="30"/>
      <c r="L140" s="30">
        <f t="shared" si="37"/>
        <v>-46.93835905305793</v>
      </c>
      <c r="M140" s="5">
        <f>N(69053.77)</f>
        <v>69053.77</v>
      </c>
      <c r="N140" s="30">
        <f>N(20000)</f>
        <v>20000</v>
      </c>
      <c r="O140" s="30">
        <f t="shared" si="38"/>
        <v>-49053.770000000004</v>
      </c>
      <c r="P140" s="30"/>
      <c r="Q140" s="30">
        <f t="shared" si="39"/>
        <v>-245.26884999999999</v>
      </c>
      <c r="R140" s="32">
        <f>N(46995.06)</f>
        <v>46995.06</v>
      </c>
      <c r="S140" s="33">
        <f t="shared" si="40"/>
        <v>-22058.710000000006</v>
      </c>
      <c r="T140" s="34"/>
      <c r="U140" s="34">
        <f t="shared" si="41"/>
        <v>-46.93835905305793</v>
      </c>
    </row>
    <row r="141" spans="1:21" hidden="1" outlineLevel="1">
      <c r="A141" s="22"/>
      <c r="B141" s="35" t="str">
        <f>"    "&amp;"Kontor, oppdatering o.l."</f>
        <v xml:space="preserve">    Kontor, oppdatering o.l.</v>
      </c>
      <c r="C141" s="36"/>
      <c r="D141" s="37">
        <f>SUM(D135:D140)</f>
        <v>632357.20000000007</v>
      </c>
      <c r="E141" s="33">
        <f>SUM(E135:E140)</f>
        <v>805700</v>
      </c>
      <c r="F141" s="33">
        <f t="shared" si="34"/>
        <v>173342.79999999993</v>
      </c>
      <c r="G141" s="33"/>
      <c r="H141" s="38">
        <f t="shared" si="35"/>
        <v>21.514558768772488</v>
      </c>
      <c r="I141" s="39">
        <f>SUM(I135:I140)</f>
        <v>220735.16</v>
      </c>
      <c r="J141" s="33">
        <f t="shared" si="36"/>
        <v>-411622.04000000004</v>
      </c>
      <c r="K141" s="33"/>
      <c r="L141" s="33">
        <f t="shared" si="37"/>
        <v>-186.47778632094679</v>
      </c>
      <c r="M141" s="37">
        <f>SUM(M135:M140)</f>
        <v>632357.20000000007</v>
      </c>
      <c r="N141" s="33">
        <f>SUM(N135:N140)</f>
        <v>805700</v>
      </c>
      <c r="O141" s="33">
        <f t="shared" si="38"/>
        <v>173342.79999999993</v>
      </c>
      <c r="P141" s="33"/>
      <c r="Q141" s="33">
        <f t="shared" si="39"/>
        <v>21.514558768772488</v>
      </c>
      <c r="R141" s="39">
        <f>SUM(R135:R140)</f>
        <v>220735.16</v>
      </c>
      <c r="S141" s="33">
        <f t="shared" si="40"/>
        <v>-411622.04000000004</v>
      </c>
      <c r="T141" s="34"/>
      <c r="U141" s="34">
        <f t="shared" si="41"/>
        <v>-186.47778632094679</v>
      </c>
    </row>
    <row r="142" spans="1:21" hidden="1" outlineLevel="2">
      <c r="A142" s="22"/>
      <c r="B142" s="28">
        <v>6900</v>
      </c>
      <c r="C142" s="29" t="s">
        <v>167</v>
      </c>
      <c r="D142" s="5">
        <f>N(73278.88)</f>
        <v>73278.880000000005</v>
      </c>
      <c r="E142" s="30">
        <f>N(51500)</f>
        <v>51500</v>
      </c>
      <c r="F142" s="30">
        <f t="shared" si="34"/>
        <v>-21778.880000000005</v>
      </c>
      <c r="G142" s="30"/>
      <c r="H142" s="31">
        <f t="shared" si="35"/>
        <v>-42.289087378640787</v>
      </c>
      <c r="I142" s="32">
        <f>N(53434.94)</f>
        <v>53434.94</v>
      </c>
      <c r="J142" s="30">
        <f t="shared" si="36"/>
        <v>-19843.940000000002</v>
      </c>
      <c r="K142" s="30"/>
      <c r="L142" s="30">
        <f t="shared" si="37"/>
        <v>-37.1366375633621</v>
      </c>
      <c r="M142" s="5">
        <f>N(73278.88)</f>
        <v>73278.880000000005</v>
      </c>
      <c r="N142" s="30">
        <f>N(51500)</f>
        <v>51500</v>
      </c>
      <c r="O142" s="30">
        <f t="shared" si="38"/>
        <v>-21778.880000000005</v>
      </c>
      <c r="P142" s="30"/>
      <c r="Q142" s="30">
        <f t="shared" si="39"/>
        <v>-42.289087378640787</v>
      </c>
      <c r="R142" s="32">
        <f>N(53434.94)</f>
        <v>53434.94</v>
      </c>
      <c r="S142" s="33">
        <f t="shared" si="40"/>
        <v>-19843.940000000002</v>
      </c>
      <c r="T142" s="34"/>
      <c r="U142" s="34">
        <f t="shared" si="41"/>
        <v>-37.1366375633621</v>
      </c>
    </row>
    <row r="143" spans="1:21" hidden="1" outlineLevel="2">
      <c r="A143" s="22"/>
      <c r="B143" s="28">
        <v>6902</v>
      </c>
      <c r="C143" s="29" t="s">
        <v>169</v>
      </c>
      <c r="D143" s="5">
        <f>N(14922.5)</f>
        <v>14922.5</v>
      </c>
      <c r="E143" s="30">
        <f>N(48000)</f>
        <v>48000</v>
      </c>
      <c r="F143" s="30">
        <f t="shared" si="34"/>
        <v>33077.5</v>
      </c>
      <c r="G143" s="30"/>
      <c r="H143" s="31">
        <f t="shared" si="35"/>
        <v>68.911458333333329</v>
      </c>
      <c r="I143" s="32">
        <f>N(392.6)</f>
        <v>392.6</v>
      </c>
      <c r="J143" s="30">
        <f t="shared" si="36"/>
        <v>-14529.9</v>
      </c>
      <c r="K143" s="30"/>
      <c r="L143" s="30">
        <f t="shared" si="37"/>
        <v>-3700.9424350483951</v>
      </c>
      <c r="M143" s="5">
        <f>N(14922.5)</f>
        <v>14922.5</v>
      </c>
      <c r="N143" s="30">
        <f>N(48000)</f>
        <v>48000</v>
      </c>
      <c r="O143" s="30">
        <f t="shared" si="38"/>
        <v>33077.5</v>
      </c>
      <c r="P143" s="30"/>
      <c r="Q143" s="30">
        <f t="shared" si="39"/>
        <v>68.911458333333329</v>
      </c>
      <c r="R143" s="32">
        <f>N(392.6)</f>
        <v>392.6</v>
      </c>
      <c r="S143" s="33">
        <f t="shared" si="40"/>
        <v>-14529.9</v>
      </c>
      <c r="T143" s="34"/>
      <c r="U143" s="34">
        <f t="shared" si="41"/>
        <v>-3700.9424350483951</v>
      </c>
    </row>
    <row r="144" spans="1:21" hidden="1" outlineLevel="2">
      <c r="A144" s="22"/>
      <c r="B144" s="28">
        <v>6905</v>
      </c>
      <c r="C144" s="29" t="s">
        <v>170</v>
      </c>
      <c r="D144" s="5">
        <f>N(8462.17)</f>
        <v>8462.17</v>
      </c>
      <c r="E144" s="30">
        <f>N(120000)</f>
        <v>120000</v>
      </c>
      <c r="F144" s="30">
        <f t="shared" si="34"/>
        <v>111537.83</v>
      </c>
      <c r="G144" s="30"/>
      <c r="H144" s="31">
        <f t="shared" si="35"/>
        <v>92.948191666666673</v>
      </c>
      <c r="I144" s="32">
        <f>N(130681.64)</f>
        <v>130681.64</v>
      </c>
      <c r="J144" s="30">
        <f t="shared" si="36"/>
        <v>122219.47</v>
      </c>
      <c r="K144" s="30"/>
      <c r="L144" s="30">
        <f t="shared" si="37"/>
        <v>93.5245915187474</v>
      </c>
      <c r="M144" s="5">
        <f>N(8462.17)</f>
        <v>8462.17</v>
      </c>
      <c r="N144" s="30">
        <f>N(120000)</f>
        <v>120000</v>
      </c>
      <c r="O144" s="30">
        <f t="shared" si="38"/>
        <v>111537.83</v>
      </c>
      <c r="P144" s="30"/>
      <c r="Q144" s="30">
        <f t="shared" si="39"/>
        <v>92.948191666666673</v>
      </c>
      <c r="R144" s="32">
        <f>N(130681.64)</f>
        <v>130681.64</v>
      </c>
      <c r="S144" s="33">
        <f t="shared" si="40"/>
        <v>122219.47</v>
      </c>
      <c r="T144" s="34"/>
      <c r="U144" s="34">
        <f t="shared" si="41"/>
        <v>93.5245915187474</v>
      </c>
    </row>
    <row r="145" spans="1:21" hidden="1" outlineLevel="2">
      <c r="A145" s="22"/>
      <c r="B145" s="28">
        <v>6940</v>
      </c>
      <c r="C145" s="29" t="s">
        <v>171</v>
      </c>
      <c r="D145" s="5">
        <f>N(48387.4)</f>
        <v>48387.4</v>
      </c>
      <c r="E145" s="30">
        <f>N(0)</f>
        <v>0</v>
      </c>
      <c r="F145" s="30">
        <f t="shared" si="34"/>
        <v>-48387.4</v>
      </c>
      <c r="G145" s="30"/>
      <c r="H145" s="31">
        <f t="shared" si="35"/>
        <v>0</v>
      </c>
      <c r="I145" s="32">
        <f>N(100269.64)</f>
        <v>100269.64</v>
      </c>
      <c r="J145" s="30">
        <f t="shared" si="36"/>
        <v>51882.239999999998</v>
      </c>
      <c r="K145" s="30"/>
      <c r="L145" s="30">
        <f t="shared" si="37"/>
        <v>51.74272092729165</v>
      </c>
      <c r="M145" s="5">
        <f>N(48387.4)</f>
        <v>48387.4</v>
      </c>
      <c r="N145" s="30">
        <f>N(0)</f>
        <v>0</v>
      </c>
      <c r="O145" s="30">
        <f t="shared" si="38"/>
        <v>-48387.4</v>
      </c>
      <c r="P145" s="30"/>
      <c r="Q145" s="30">
        <f t="shared" si="39"/>
        <v>0</v>
      </c>
      <c r="R145" s="32">
        <f>N(100269.64)</f>
        <v>100269.64</v>
      </c>
      <c r="S145" s="33">
        <f t="shared" si="40"/>
        <v>51882.239999999998</v>
      </c>
      <c r="T145" s="34"/>
      <c r="U145" s="34">
        <f t="shared" si="41"/>
        <v>51.74272092729165</v>
      </c>
    </row>
    <row r="146" spans="1:21" hidden="1" outlineLevel="1">
      <c r="A146" s="22"/>
      <c r="B146" s="35" t="str">
        <f>"    "&amp;"Telefon og porto o.l."</f>
        <v xml:space="preserve">    Telefon og porto o.l.</v>
      </c>
      <c r="C146" s="36"/>
      <c r="D146" s="37">
        <f>SUM(D142:D145)</f>
        <v>145050.95000000001</v>
      </c>
      <c r="E146" s="33">
        <f>SUM(E142:E145)</f>
        <v>219500</v>
      </c>
      <c r="F146" s="33">
        <f t="shared" si="34"/>
        <v>74449.049999999988</v>
      </c>
      <c r="G146" s="33"/>
      <c r="H146" s="38">
        <f t="shared" si="35"/>
        <v>33.917562642369013</v>
      </c>
      <c r="I146" s="39">
        <f>SUM(I142:I145)</f>
        <v>284778.82</v>
      </c>
      <c r="J146" s="33">
        <f t="shared" si="36"/>
        <v>139727.87</v>
      </c>
      <c r="K146" s="33"/>
      <c r="L146" s="33">
        <f t="shared" si="37"/>
        <v>49.06540100138065</v>
      </c>
      <c r="M146" s="37">
        <f>SUM(M142:M145)</f>
        <v>145050.95000000001</v>
      </c>
      <c r="N146" s="33">
        <f>SUM(N142:N145)</f>
        <v>219500</v>
      </c>
      <c r="O146" s="33">
        <f t="shared" si="38"/>
        <v>74449.049999999988</v>
      </c>
      <c r="P146" s="33"/>
      <c r="Q146" s="33">
        <f t="shared" si="39"/>
        <v>33.917562642369013</v>
      </c>
      <c r="R146" s="39">
        <f>SUM(R142:R145)</f>
        <v>284778.82</v>
      </c>
      <c r="S146" s="33">
        <f t="shared" si="40"/>
        <v>139727.87</v>
      </c>
      <c r="T146" s="34"/>
      <c r="U146" s="34">
        <f t="shared" si="41"/>
        <v>49.06540100138065</v>
      </c>
    </row>
    <row r="147" spans="1:21" hidden="1" outlineLevel="2">
      <c r="A147" s="22"/>
      <c r="B147" s="28">
        <v>7171</v>
      </c>
      <c r="C147" s="29" t="s">
        <v>172</v>
      </c>
      <c r="D147" s="5">
        <f>N(1065.66)</f>
        <v>1065.6600000000001</v>
      </c>
      <c r="E147" s="30">
        <f>N(0)</f>
        <v>0</v>
      </c>
      <c r="F147" s="30">
        <f t="shared" si="34"/>
        <v>-1065.6600000000001</v>
      </c>
      <c r="G147" s="30"/>
      <c r="H147" s="31">
        <f t="shared" si="35"/>
        <v>0</v>
      </c>
      <c r="I147" s="32">
        <f>N(0)</f>
        <v>0</v>
      </c>
      <c r="J147" s="30">
        <f t="shared" si="36"/>
        <v>-1065.6600000000001</v>
      </c>
      <c r="K147" s="30"/>
      <c r="L147" s="30">
        <f t="shared" si="37"/>
        <v>0</v>
      </c>
      <c r="M147" s="5">
        <f>N(1065.66)</f>
        <v>1065.6600000000001</v>
      </c>
      <c r="N147" s="30">
        <f>N(0)</f>
        <v>0</v>
      </c>
      <c r="O147" s="30">
        <f t="shared" si="38"/>
        <v>-1065.6600000000001</v>
      </c>
      <c r="P147" s="30"/>
      <c r="Q147" s="30">
        <f t="shared" si="39"/>
        <v>0</v>
      </c>
      <c r="R147" s="32">
        <f>N(0)</f>
        <v>0</v>
      </c>
      <c r="S147" s="33">
        <f t="shared" si="40"/>
        <v>-1065.6600000000001</v>
      </c>
      <c r="T147" s="34"/>
      <c r="U147" s="34">
        <f t="shared" si="41"/>
        <v>0</v>
      </c>
    </row>
    <row r="148" spans="1:21" hidden="1" outlineLevel="2">
      <c r="A148" s="22"/>
      <c r="B148" s="28">
        <v>7730</v>
      </c>
      <c r="C148" s="29" t="s">
        <v>173</v>
      </c>
      <c r="D148" s="5">
        <f>N(3510684.17)</f>
        <v>3510684.17</v>
      </c>
      <c r="E148" s="30">
        <f>N(3911595)</f>
        <v>3911595</v>
      </c>
      <c r="F148" s="30">
        <f t="shared" si="34"/>
        <v>400910.83000000007</v>
      </c>
      <c r="G148" s="30"/>
      <c r="H148" s="31">
        <f t="shared" si="35"/>
        <v>10.249292935490512</v>
      </c>
      <c r="I148" s="32">
        <f>N(4401633.91)</f>
        <v>4401633.91</v>
      </c>
      <c r="J148" s="30">
        <f t="shared" si="36"/>
        <v>890949.74000000022</v>
      </c>
      <c r="K148" s="30"/>
      <c r="L148" s="30">
        <f t="shared" si="37"/>
        <v>20.241341243211213</v>
      </c>
      <c r="M148" s="5">
        <f>N(3510684.17)</f>
        <v>3510684.17</v>
      </c>
      <c r="N148" s="30">
        <f>N(3911595)</f>
        <v>3911595</v>
      </c>
      <c r="O148" s="30">
        <f t="shared" si="38"/>
        <v>400910.83000000007</v>
      </c>
      <c r="P148" s="30"/>
      <c r="Q148" s="30">
        <f t="shared" si="39"/>
        <v>10.249292935490512</v>
      </c>
      <c r="R148" s="32">
        <f>N(4401633.91)</f>
        <v>4401633.91</v>
      </c>
      <c r="S148" s="33">
        <f t="shared" si="40"/>
        <v>890949.74000000022</v>
      </c>
      <c r="T148" s="34"/>
      <c r="U148" s="34">
        <f t="shared" si="41"/>
        <v>20.241341243211213</v>
      </c>
    </row>
    <row r="149" spans="1:21" hidden="1" outlineLevel="2">
      <c r="A149" s="22"/>
      <c r="B149" s="28">
        <v>7731</v>
      </c>
      <c r="C149" s="29" t="s">
        <v>174</v>
      </c>
      <c r="D149" s="5">
        <f>N(2707375.8)</f>
        <v>2707375.8</v>
      </c>
      <c r="E149" s="30">
        <f>N(4413292)</f>
        <v>4413292</v>
      </c>
      <c r="F149" s="30">
        <f t="shared" si="34"/>
        <v>1705916.2000000002</v>
      </c>
      <c r="G149" s="30"/>
      <c r="H149" s="31">
        <f t="shared" si="35"/>
        <v>38.654052349130772</v>
      </c>
      <c r="I149" s="32">
        <f>N(4457691.2)</f>
        <v>4457691.2</v>
      </c>
      <c r="J149" s="30">
        <f t="shared" si="36"/>
        <v>1750315.4000000004</v>
      </c>
      <c r="K149" s="30"/>
      <c r="L149" s="30">
        <f t="shared" si="37"/>
        <v>39.265066184934483</v>
      </c>
      <c r="M149" s="5">
        <f>N(2707375.8)</f>
        <v>2707375.8</v>
      </c>
      <c r="N149" s="30">
        <f>N(4413292)</f>
        <v>4413292</v>
      </c>
      <c r="O149" s="30">
        <f t="shared" si="38"/>
        <v>1705916.2000000002</v>
      </c>
      <c r="P149" s="30"/>
      <c r="Q149" s="30">
        <f t="shared" si="39"/>
        <v>38.654052349130772</v>
      </c>
      <c r="R149" s="32">
        <f>N(4457691.2)</f>
        <v>4457691.2</v>
      </c>
      <c r="S149" s="33">
        <f t="shared" si="40"/>
        <v>1750315.4000000004</v>
      </c>
      <c r="T149" s="34"/>
      <c r="U149" s="34">
        <f t="shared" si="41"/>
        <v>39.265066184934483</v>
      </c>
    </row>
    <row r="150" spans="1:21" hidden="1" outlineLevel="2">
      <c r="A150" s="22"/>
      <c r="B150" s="28">
        <v>7735</v>
      </c>
      <c r="C150" s="29" t="s">
        <v>175</v>
      </c>
      <c r="D150" s="5">
        <f>N(1806761.65)</f>
        <v>1806761.65</v>
      </c>
      <c r="E150" s="30">
        <f>N(2272113)</f>
        <v>2272113</v>
      </c>
      <c r="F150" s="30">
        <f t="shared" si="34"/>
        <v>465351.35000000009</v>
      </c>
      <c r="G150" s="30"/>
      <c r="H150" s="31">
        <f t="shared" si="35"/>
        <v>20.480995003329504</v>
      </c>
      <c r="I150" s="32">
        <f>N(832630.65)</f>
        <v>832630.65</v>
      </c>
      <c r="J150" s="30">
        <f t="shared" si="36"/>
        <v>-974130.99999999988</v>
      </c>
      <c r="K150" s="30"/>
      <c r="L150" s="30">
        <f t="shared" si="37"/>
        <v>-116.99437199435306</v>
      </c>
      <c r="M150" s="5">
        <f>N(1806761.65)</f>
        <v>1806761.65</v>
      </c>
      <c r="N150" s="30">
        <f>N(2272113)</f>
        <v>2272113</v>
      </c>
      <c r="O150" s="30">
        <f t="shared" si="38"/>
        <v>465351.35000000009</v>
      </c>
      <c r="P150" s="30"/>
      <c r="Q150" s="30">
        <f t="shared" si="39"/>
        <v>20.480995003329504</v>
      </c>
      <c r="R150" s="32">
        <f>N(832630.65)</f>
        <v>832630.65</v>
      </c>
      <c r="S150" s="33">
        <f t="shared" si="40"/>
        <v>-974130.99999999988</v>
      </c>
      <c r="T150" s="34"/>
      <c r="U150" s="34">
        <f t="shared" si="41"/>
        <v>-116.99437199435306</v>
      </c>
    </row>
    <row r="151" spans="1:21" hidden="1" outlineLevel="1">
      <c r="A151" s="22"/>
      <c r="B151" s="35" t="str">
        <f>"    "&amp;"Evangelisering og misjon"</f>
        <v xml:space="preserve">    Evangelisering og misjon</v>
      </c>
      <c r="C151" s="36"/>
      <c r="D151" s="37">
        <f>SUM(D147:D150)</f>
        <v>8025887.2799999993</v>
      </c>
      <c r="E151" s="33">
        <f>SUM(E147:E150)</f>
        <v>10597000</v>
      </c>
      <c r="F151" s="33">
        <f t="shared" si="34"/>
        <v>2571112.7200000007</v>
      </c>
      <c r="G151" s="33"/>
      <c r="H151" s="38">
        <f t="shared" si="35"/>
        <v>24.262647164291785</v>
      </c>
      <c r="I151" s="39">
        <f>SUM(I147:I150)</f>
        <v>9691955.7599999998</v>
      </c>
      <c r="J151" s="33">
        <f t="shared" si="36"/>
        <v>1666068.4800000004</v>
      </c>
      <c r="K151" s="33"/>
      <c r="L151" s="33">
        <f t="shared" si="37"/>
        <v>17.190219613631424</v>
      </c>
      <c r="M151" s="37">
        <f>SUM(M147:M150)</f>
        <v>8025887.2799999993</v>
      </c>
      <c r="N151" s="33">
        <f>SUM(N147:N150)</f>
        <v>10597000</v>
      </c>
      <c r="O151" s="33">
        <f t="shared" si="38"/>
        <v>2571112.7200000007</v>
      </c>
      <c r="P151" s="33"/>
      <c r="Q151" s="33">
        <f t="shared" si="39"/>
        <v>24.262647164291785</v>
      </c>
      <c r="R151" s="39">
        <f>SUM(R147:R150)</f>
        <v>9691955.7599999998</v>
      </c>
      <c r="S151" s="33">
        <f t="shared" si="40"/>
        <v>1666068.4800000004</v>
      </c>
      <c r="T151" s="34"/>
      <c r="U151" s="34">
        <f t="shared" si="41"/>
        <v>17.190219613631424</v>
      </c>
    </row>
    <row r="152" spans="1:21" hidden="1" outlineLevel="2">
      <c r="A152" s="22"/>
      <c r="B152" s="28">
        <v>7100</v>
      </c>
      <c r="C152" s="29" t="s">
        <v>176</v>
      </c>
      <c r="D152" s="5">
        <f>N(149344.8)</f>
        <v>149344.79999999999</v>
      </c>
      <c r="E152" s="30">
        <f>N(100000)</f>
        <v>100000</v>
      </c>
      <c r="F152" s="30">
        <f t="shared" si="34"/>
        <v>-49344.799999999988</v>
      </c>
      <c r="G152" s="30"/>
      <c r="H152" s="31">
        <f t="shared" si="35"/>
        <v>-49.344799999999992</v>
      </c>
      <c r="I152" s="32">
        <f>N(97148.66)</f>
        <v>97148.66</v>
      </c>
      <c r="J152" s="30">
        <f t="shared" si="36"/>
        <v>-52196.139999999985</v>
      </c>
      <c r="K152" s="30"/>
      <c r="L152" s="30">
        <f t="shared" si="37"/>
        <v>-53.72811112371491</v>
      </c>
      <c r="M152" s="5">
        <f>N(149344.8)</f>
        <v>149344.79999999999</v>
      </c>
      <c r="N152" s="30">
        <f>N(100000)</f>
        <v>100000</v>
      </c>
      <c r="O152" s="30">
        <f t="shared" si="38"/>
        <v>-49344.799999999988</v>
      </c>
      <c r="P152" s="30"/>
      <c r="Q152" s="30">
        <f t="shared" si="39"/>
        <v>-49.344799999999992</v>
      </c>
      <c r="R152" s="32">
        <f>N(97148.66)</f>
        <v>97148.66</v>
      </c>
      <c r="S152" s="33">
        <f t="shared" si="40"/>
        <v>-52196.139999999985</v>
      </c>
      <c r="T152" s="34"/>
      <c r="U152" s="34">
        <f t="shared" si="41"/>
        <v>-53.72811112371491</v>
      </c>
    </row>
    <row r="153" spans="1:21" hidden="1" outlineLevel="2">
      <c r="A153" s="22"/>
      <c r="B153" s="28">
        <v>7101</v>
      </c>
      <c r="C153" s="29" t="s">
        <v>177</v>
      </c>
      <c r="D153" s="5">
        <f>N(201901.4)</f>
        <v>201901.4</v>
      </c>
      <c r="E153" s="30">
        <f>N(239200)</f>
        <v>239200</v>
      </c>
      <c r="F153" s="30">
        <f t="shared" si="34"/>
        <v>37298.600000000006</v>
      </c>
      <c r="G153" s="30"/>
      <c r="H153" s="31">
        <f t="shared" si="35"/>
        <v>15.593060200668898</v>
      </c>
      <c r="I153" s="32">
        <f>N(163758.65)</f>
        <v>163758.65</v>
      </c>
      <c r="J153" s="30">
        <f t="shared" si="36"/>
        <v>-38142.75</v>
      </c>
      <c r="K153" s="30"/>
      <c r="L153" s="30">
        <f t="shared" si="37"/>
        <v>-23.292052053433515</v>
      </c>
      <c r="M153" s="5">
        <f>N(201901.4)</f>
        <v>201901.4</v>
      </c>
      <c r="N153" s="30">
        <f>N(239200)</f>
        <v>239200</v>
      </c>
      <c r="O153" s="30">
        <f t="shared" si="38"/>
        <v>37298.600000000006</v>
      </c>
      <c r="P153" s="30"/>
      <c r="Q153" s="30">
        <f t="shared" si="39"/>
        <v>15.593060200668898</v>
      </c>
      <c r="R153" s="32">
        <f>N(163758.65)</f>
        <v>163758.65</v>
      </c>
      <c r="S153" s="33">
        <f t="shared" si="40"/>
        <v>-38142.75</v>
      </c>
      <c r="T153" s="34"/>
      <c r="U153" s="34">
        <f t="shared" si="41"/>
        <v>-23.292052053433515</v>
      </c>
    </row>
    <row r="154" spans="1:21" hidden="1" outlineLevel="2">
      <c r="A154" s="22"/>
      <c r="B154" s="28">
        <v>7140</v>
      </c>
      <c r="C154" s="29" t="s">
        <v>178</v>
      </c>
      <c r="D154" s="5">
        <f>N(950924.08)</f>
        <v>950924.08</v>
      </c>
      <c r="E154" s="30">
        <f>N(1531000)</f>
        <v>1531000</v>
      </c>
      <c r="F154" s="30">
        <f t="shared" si="34"/>
        <v>580075.92000000004</v>
      </c>
      <c r="G154" s="30"/>
      <c r="H154" s="31">
        <f t="shared" si="35"/>
        <v>37.888694970607453</v>
      </c>
      <c r="I154" s="32">
        <f>N(598245.17)</f>
        <v>598245.17000000004</v>
      </c>
      <c r="J154" s="30">
        <f t="shared" si="36"/>
        <v>-352678.90999999992</v>
      </c>
      <c r="K154" s="30"/>
      <c r="L154" s="30">
        <f t="shared" si="37"/>
        <v>-58.952236923199884</v>
      </c>
      <c r="M154" s="5">
        <f>N(950924.08)</f>
        <v>950924.08</v>
      </c>
      <c r="N154" s="30">
        <f>N(1531000)</f>
        <v>1531000</v>
      </c>
      <c r="O154" s="30">
        <f t="shared" si="38"/>
        <v>580075.92000000004</v>
      </c>
      <c r="P154" s="30"/>
      <c r="Q154" s="30">
        <f t="shared" si="39"/>
        <v>37.888694970607453</v>
      </c>
      <c r="R154" s="32">
        <f>N(598245.17)</f>
        <v>598245.17000000004</v>
      </c>
      <c r="S154" s="33">
        <f t="shared" si="40"/>
        <v>-352678.90999999992</v>
      </c>
      <c r="T154" s="34"/>
      <c r="U154" s="34">
        <f t="shared" si="41"/>
        <v>-58.952236923199884</v>
      </c>
    </row>
    <row r="155" spans="1:21" hidden="1" outlineLevel="2">
      <c r="A155" s="22"/>
      <c r="B155" s="28">
        <v>7141</v>
      </c>
      <c r="C155" s="29" t="s">
        <v>179</v>
      </c>
      <c r="D155" s="5">
        <f>N(349000.59)</f>
        <v>349000.59</v>
      </c>
      <c r="E155" s="30">
        <f>N(0)</f>
        <v>0</v>
      </c>
      <c r="F155" s="30">
        <f t="shared" si="34"/>
        <v>-349000.59</v>
      </c>
      <c r="G155" s="30"/>
      <c r="H155" s="31">
        <f t="shared" si="35"/>
        <v>0</v>
      </c>
      <c r="I155" s="32">
        <f>N(76224.12)</f>
        <v>76224.12</v>
      </c>
      <c r="J155" s="30">
        <f t="shared" si="36"/>
        <v>-272776.47000000003</v>
      </c>
      <c r="K155" s="30"/>
      <c r="L155" s="30">
        <f t="shared" si="37"/>
        <v>-357.86109436225706</v>
      </c>
      <c r="M155" s="5">
        <f>N(349000.59)</f>
        <v>349000.59</v>
      </c>
      <c r="N155" s="30">
        <f>N(0)</f>
        <v>0</v>
      </c>
      <c r="O155" s="30">
        <f t="shared" si="38"/>
        <v>-349000.59</v>
      </c>
      <c r="P155" s="30"/>
      <c r="Q155" s="30">
        <f t="shared" si="39"/>
        <v>0</v>
      </c>
      <c r="R155" s="32">
        <f>N(76224.12)</f>
        <v>76224.12</v>
      </c>
      <c r="S155" s="33">
        <f t="shared" si="40"/>
        <v>-272776.47000000003</v>
      </c>
      <c r="T155" s="34"/>
      <c r="U155" s="34">
        <f t="shared" si="41"/>
        <v>-357.86109436225706</v>
      </c>
    </row>
    <row r="156" spans="1:21" hidden="1" outlineLevel="2">
      <c r="A156" s="22"/>
      <c r="B156" s="28">
        <v>7150</v>
      </c>
      <c r="C156" s="29" t="s">
        <v>180</v>
      </c>
      <c r="D156" s="5">
        <f>N(15762)</f>
        <v>15762</v>
      </c>
      <c r="E156" s="30">
        <f>N(25000)</f>
        <v>25000</v>
      </c>
      <c r="F156" s="30">
        <f t="shared" si="34"/>
        <v>9238</v>
      </c>
      <c r="G156" s="30"/>
      <c r="H156" s="31">
        <f t="shared" si="35"/>
        <v>36.951999999999998</v>
      </c>
      <c r="I156" s="32">
        <f>N(5952.5)</f>
        <v>5952.5</v>
      </c>
      <c r="J156" s="30">
        <f t="shared" si="36"/>
        <v>-9809.5</v>
      </c>
      <c r="K156" s="30"/>
      <c r="L156" s="30">
        <f t="shared" si="37"/>
        <v>-164.79630407391852</v>
      </c>
      <c r="M156" s="5">
        <f>N(15762)</f>
        <v>15762</v>
      </c>
      <c r="N156" s="30">
        <f>N(25000)</f>
        <v>25000</v>
      </c>
      <c r="O156" s="30">
        <f t="shared" si="38"/>
        <v>9238</v>
      </c>
      <c r="P156" s="30"/>
      <c r="Q156" s="30">
        <f t="shared" si="39"/>
        <v>36.951999999999998</v>
      </c>
      <c r="R156" s="32">
        <f>N(5952.5)</f>
        <v>5952.5</v>
      </c>
      <c r="S156" s="33">
        <f t="shared" si="40"/>
        <v>-9809.5</v>
      </c>
      <c r="T156" s="34"/>
      <c r="U156" s="34">
        <f t="shared" si="41"/>
        <v>-164.79630407391852</v>
      </c>
    </row>
    <row r="157" spans="1:21" hidden="1" outlineLevel="2">
      <c r="A157" s="22"/>
      <c r="B157" s="28">
        <v>7151</v>
      </c>
      <c r="C157" s="29" t="s">
        <v>181</v>
      </c>
      <c r="D157" s="5">
        <f>N(5244)</f>
        <v>5244</v>
      </c>
      <c r="E157" s="30">
        <f>N(5000)</f>
        <v>5000</v>
      </c>
      <c r="F157" s="30">
        <f t="shared" si="34"/>
        <v>-244</v>
      </c>
      <c r="G157" s="30"/>
      <c r="H157" s="31">
        <f t="shared" si="35"/>
        <v>-4.88</v>
      </c>
      <c r="I157" s="32">
        <f>N(2264)</f>
        <v>2264</v>
      </c>
      <c r="J157" s="30">
        <f t="shared" si="36"/>
        <v>-2980</v>
      </c>
      <c r="K157" s="30"/>
      <c r="L157" s="30">
        <f t="shared" si="37"/>
        <v>-131.62544169611309</v>
      </c>
      <c r="M157" s="5">
        <f>N(5244)</f>
        <v>5244</v>
      </c>
      <c r="N157" s="30">
        <f>N(5000)</f>
        <v>5000</v>
      </c>
      <c r="O157" s="30">
        <f t="shared" si="38"/>
        <v>-244</v>
      </c>
      <c r="P157" s="30"/>
      <c r="Q157" s="30">
        <f t="shared" si="39"/>
        <v>-4.88</v>
      </c>
      <c r="R157" s="32">
        <f>N(2264)</f>
        <v>2264</v>
      </c>
      <c r="S157" s="33">
        <f t="shared" si="40"/>
        <v>-2980</v>
      </c>
      <c r="T157" s="34"/>
      <c r="U157" s="34">
        <f t="shared" si="41"/>
        <v>-131.62544169611309</v>
      </c>
    </row>
    <row r="158" spans="1:21" hidden="1" outlineLevel="2">
      <c r="A158" s="22"/>
      <c r="B158" s="28">
        <v>7170</v>
      </c>
      <c r="C158" s="29" t="s">
        <v>182</v>
      </c>
      <c r="D158" s="5">
        <f>N(0)</f>
        <v>0</v>
      </c>
      <c r="E158" s="30">
        <f>N(0)</f>
        <v>0</v>
      </c>
      <c r="F158" s="30">
        <f t="shared" si="34"/>
        <v>0</v>
      </c>
      <c r="G158" s="30"/>
      <c r="H158" s="31">
        <f t="shared" si="35"/>
        <v>0</v>
      </c>
      <c r="I158" s="32">
        <f>N(71660.61)</f>
        <v>71660.61</v>
      </c>
      <c r="J158" s="30">
        <f t="shared" si="36"/>
        <v>71660.61</v>
      </c>
      <c r="K158" s="30"/>
      <c r="L158" s="30">
        <f t="shared" si="37"/>
        <v>100</v>
      </c>
      <c r="M158" s="5">
        <f>N(0)</f>
        <v>0</v>
      </c>
      <c r="N158" s="30">
        <f>N(0)</f>
        <v>0</v>
      </c>
      <c r="O158" s="30">
        <f t="shared" si="38"/>
        <v>0</v>
      </c>
      <c r="P158" s="30"/>
      <c r="Q158" s="30">
        <f t="shared" si="39"/>
        <v>0</v>
      </c>
      <c r="R158" s="32">
        <f>N(71660.61)</f>
        <v>71660.61</v>
      </c>
      <c r="S158" s="33">
        <f t="shared" si="40"/>
        <v>71660.61</v>
      </c>
      <c r="T158" s="34"/>
      <c r="U158" s="34">
        <f t="shared" si="41"/>
        <v>100</v>
      </c>
    </row>
    <row r="159" spans="1:21" hidden="1" outlineLevel="1">
      <c r="A159" s="22"/>
      <c r="B159" s="35" t="str">
        <f>"    "&amp;"Reise"</f>
        <v xml:space="preserve">    Reise</v>
      </c>
      <c r="C159" s="36"/>
      <c r="D159" s="37">
        <f>SUM(D152:D158)</f>
        <v>1672176.8699999999</v>
      </c>
      <c r="E159" s="33">
        <f>SUM(E152:E158)</f>
        <v>1900200</v>
      </c>
      <c r="F159" s="33">
        <f t="shared" si="34"/>
        <v>228023.13000000012</v>
      </c>
      <c r="G159" s="33"/>
      <c r="H159" s="38">
        <f t="shared" si="35"/>
        <v>11.99995421534576</v>
      </c>
      <c r="I159" s="39">
        <f>SUM(I152:I158)</f>
        <v>1015253.71</v>
      </c>
      <c r="J159" s="33">
        <f t="shared" si="36"/>
        <v>-656923.15999999992</v>
      </c>
      <c r="K159" s="33"/>
      <c r="L159" s="33">
        <f t="shared" si="37"/>
        <v>-64.705319816068439</v>
      </c>
      <c r="M159" s="37">
        <f>SUM(M152:M158)</f>
        <v>1672176.8699999999</v>
      </c>
      <c r="N159" s="33">
        <f>SUM(N152:N158)</f>
        <v>1900200</v>
      </c>
      <c r="O159" s="33">
        <f t="shared" si="38"/>
        <v>228023.13000000012</v>
      </c>
      <c r="P159" s="33"/>
      <c r="Q159" s="33">
        <f t="shared" si="39"/>
        <v>11.99995421534576</v>
      </c>
      <c r="R159" s="39">
        <f>SUM(R152:R158)</f>
        <v>1015253.71</v>
      </c>
      <c r="S159" s="33">
        <f t="shared" si="40"/>
        <v>-656923.15999999992</v>
      </c>
      <c r="T159" s="34"/>
      <c r="U159" s="34">
        <f t="shared" si="41"/>
        <v>-64.705319816068439</v>
      </c>
    </row>
    <row r="160" spans="1:21" hidden="1" outlineLevel="2">
      <c r="A160" s="22"/>
      <c r="B160" s="28">
        <v>7320</v>
      </c>
      <c r="C160" s="29" t="s">
        <v>183</v>
      </c>
      <c r="D160" s="5">
        <f>N(163031.25)</f>
        <v>163031.25</v>
      </c>
      <c r="E160" s="30">
        <f>N(40000)</f>
        <v>40000</v>
      </c>
      <c r="F160" s="30">
        <f t="shared" si="34"/>
        <v>-123031.25</v>
      </c>
      <c r="G160" s="30"/>
      <c r="H160" s="31">
        <f t="shared" si="35"/>
        <v>-307.578125</v>
      </c>
      <c r="I160" s="32">
        <f>N(92184.5)</f>
        <v>92184.5</v>
      </c>
      <c r="J160" s="30">
        <f t="shared" si="36"/>
        <v>-70846.75</v>
      </c>
      <c r="K160" s="30"/>
      <c r="L160" s="30">
        <f t="shared" si="37"/>
        <v>-76.853212850316481</v>
      </c>
      <c r="M160" s="5">
        <f>N(163031.25)</f>
        <v>163031.25</v>
      </c>
      <c r="N160" s="30">
        <f>N(40000)</f>
        <v>40000</v>
      </c>
      <c r="O160" s="30">
        <f t="shared" si="38"/>
        <v>-123031.25</v>
      </c>
      <c r="P160" s="30"/>
      <c r="Q160" s="30">
        <f t="shared" si="39"/>
        <v>-307.578125</v>
      </c>
      <c r="R160" s="32">
        <f>N(92184.5)</f>
        <v>92184.5</v>
      </c>
      <c r="S160" s="33">
        <f t="shared" si="40"/>
        <v>-70846.75</v>
      </c>
      <c r="T160" s="34"/>
      <c r="U160" s="34">
        <f t="shared" si="41"/>
        <v>-76.853212850316481</v>
      </c>
    </row>
    <row r="161" spans="1:21" hidden="1" outlineLevel="2">
      <c r="A161" s="22"/>
      <c r="B161" s="28">
        <v>7331</v>
      </c>
      <c r="C161" s="29" t="s">
        <v>184</v>
      </c>
      <c r="D161" s="5">
        <f>N(1179)</f>
        <v>1179</v>
      </c>
      <c r="E161" s="30">
        <f>N(0)</f>
        <v>0</v>
      </c>
      <c r="F161" s="30">
        <f t="shared" si="34"/>
        <v>-1179</v>
      </c>
      <c r="G161" s="30"/>
      <c r="H161" s="31">
        <f t="shared" si="35"/>
        <v>0</v>
      </c>
      <c r="I161" s="32">
        <f>N(29750)</f>
        <v>29750</v>
      </c>
      <c r="J161" s="30">
        <f t="shared" si="36"/>
        <v>28571</v>
      </c>
      <c r="K161" s="30"/>
      <c r="L161" s="30">
        <f t="shared" si="37"/>
        <v>96.036974789915973</v>
      </c>
      <c r="M161" s="5">
        <f>N(1179)</f>
        <v>1179</v>
      </c>
      <c r="N161" s="30">
        <f>N(0)</f>
        <v>0</v>
      </c>
      <c r="O161" s="30">
        <f t="shared" si="38"/>
        <v>-1179</v>
      </c>
      <c r="P161" s="30"/>
      <c r="Q161" s="30">
        <f t="shared" si="39"/>
        <v>0</v>
      </c>
      <c r="R161" s="32">
        <f>N(29750)</f>
        <v>29750</v>
      </c>
      <c r="S161" s="33">
        <f t="shared" si="40"/>
        <v>28571</v>
      </c>
      <c r="T161" s="34"/>
      <c r="U161" s="34">
        <f t="shared" si="41"/>
        <v>96.036974789915973</v>
      </c>
    </row>
    <row r="162" spans="1:21" hidden="1" outlineLevel="1">
      <c r="A162" s="22"/>
      <c r="B162" s="35" t="str">
        <f>"    "&amp;"Salgs-, reklame- og representasjonskostnader"</f>
        <v xml:space="preserve">    Salgs-, reklame- og representasjonskostnader</v>
      </c>
      <c r="C162" s="36"/>
      <c r="D162" s="37">
        <f>SUM(D160:D161)</f>
        <v>164210.25</v>
      </c>
      <c r="E162" s="33">
        <f>SUM(E160:E161)</f>
        <v>40000</v>
      </c>
      <c r="F162" s="33">
        <f t="shared" si="34"/>
        <v>-124210.25</v>
      </c>
      <c r="G162" s="33"/>
      <c r="H162" s="38">
        <f t="shared" si="35"/>
        <v>-310.52562499999999</v>
      </c>
      <c r="I162" s="39">
        <f>SUM(I160:I161)</f>
        <v>121934.5</v>
      </c>
      <c r="J162" s="33">
        <f t="shared" si="36"/>
        <v>-42275.75</v>
      </c>
      <c r="K162" s="33"/>
      <c r="L162" s="33">
        <f t="shared" si="37"/>
        <v>-34.670868376054358</v>
      </c>
      <c r="M162" s="37">
        <f>SUM(M160:M161)</f>
        <v>164210.25</v>
      </c>
      <c r="N162" s="33">
        <f>SUM(N160:N161)</f>
        <v>40000</v>
      </c>
      <c r="O162" s="33">
        <f t="shared" si="38"/>
        <v>-124210.25</v>
      </c>
      <c r="P162" s="33"/>
      <c r="Q162" s="33">
        <f t="shared" si="39"/>
        <v>-310.52562499999999</v>
      </c>
      <c r="R162" s="39">
        <f>SUM(R160:R161)</f>
        <v>121934.5</v>
      </c>
      <c r="S162" s="33">
        <f t="shared" si="40"/>
        <v>-42275.75</v>
      </c>
      <c r="T162" s="34"/>
      <c r="U162" s="34">
        <f t="shared" si="41"/>
        <v>-34.670868376054358</v>
      </c>
    </row>
    <row r="163" spans="1:21" hidden="1" outlineLevel="2">
      <c r="A163" s="22"/>
      <c r="B163" s="28">
        <v>7410</v>
      </c>
      <c r="C163" s="29" t="s">
        <v>185</v>
      </c>
      <c r="D163" s="5">
        <f>N(234716.2)</f>
        <v>234716.2</v>
      </c>
      <c r="E163" s="30">
        <f>N(280000)</f>
        <v>280000</v>
      </c>
      <c r="F163" s="30">
        <f t="shared" si="34"/>
        <v>45283.799999999988</v>
      </c>
      <c r="G163" s="30"/>
      <c r="H163" s="31">
        <f t="shared" si="35"/>
        <v>16.172785714285713</v>
      </c>
      <c r="I163" s="32">
        <f>N(253631.49)</f>
        <v>253631.49</v>
      </c>
      <c r="J163" s="30">
        <f t="shared" si="36"/>
        <v>18915.289999999979</v>
      </c>
      <c r="K163" s="30"/>
      <c r="L163" s="30">
        <f t="shared" si="37"/>
        <v>7.4577845203684996</v>
      </c>
      <c r="M163" s="5">
        <f>N(234716.2)</f>
        <v>234716.2</v>
      </c>
      <c r="N163" s="30">
        <f>N(280000)</f>
        <v>280000</v>
      </c>
      <c r="O163" s="30">
        <f t="shared" si="38"/>
        <v>45283.799999999988</v>
      </c>
      <c r="P163" s="30"/>
      <c r="Q163" s="30">
        <f t="shared" si="39"/>
        <v>16.172785714285713</v>
      </c>
      <c r="R163" s="32">
        <f>N(253631.49)</f>
        <v>253631.49</v>
      </c>
      <c r="S163" s="33">
        <f t="shared" si="40"/>
        <v>18915.289999999979</v>
      </c>
      <c r="T163" s="34"/>
      <c r="U163" s="34">
        <f t="shared" si="41"/>
        <v>7.4577845203684996</v>
      </c>
    </row>
    <row r="164" spans="1:21" hidden="1" outlineLevel="2">
      <c r="A164" s="22"/>
      <c r="B164" s="28">
        <v>7430</v>
      </c>
      <c r="C164" s="29" t="s">
        <v>186</v>
      </c>
      <c r="D164" s="5">
        <f>N(48692)</f>
        <v>48692</v>
      </c>
      <c r="E164" s="30">
        <f>N(7000)</f>
        <v>7000</v>
      </c>
      <c r="F164" s="30">
        <f t="shared" si="34"/>
        <v>-41692</v>
      </c>
      <c r="G164" s="30"/>
      <c r="H164" s="31">
        <f t="shared" si="35"/>
        <v>-595.6</v>
      </c>
      <c r="I164" s="32">
        <f>N(208763.2)</f>
        <v>208763.2</v>
      </c>
      <c r="J164" s="30">
        <f t="shared" si="36"/>
        <v>160071.20000000001</v>
      </c>
      <c r="K164" s="30"/>
      <c r="L164" s="30">
        <f t="shared" si="37"/>
        <v>76.675965879043815</v>
      </c>
      <c r="M164" s="5">
        <f>N(48692)</f>
        <v>48692</v>
      </c>
      <c r="N164" s="30">
        <f>N(7000)</f>
        <v>7000</v>
      </c>
      <c r="O164" s="30">
        <f t="shared" si="38"/>
        <v>-41692</v>
      </c>
      <c r="P164" s="30"/>
      <c r="Q164" s="30">
        <f t="shared" si="39"/>
        <v>-595.6</v>
      </c>
      <c r="R164" s="32">
        <f>N(208763.2)</f>
        <v>208763.2</v>
      </c>
      <c r="S164" s="33">
        <f t="shared" si="40"/>
        <v>160071.20000000001</v>
      </c>
      <c r="T164" s="34"/>
      <c r="U164" s="34">
        <f t="shared" si="41"/>
        <v>76.675965879043815</v>
      </c>
    </row>
    <row r="165" spans="1:21" hidden="1" outlineLevel="2">
      <c r="A165" s="22"/>
      <c r="B165" s="28">
        <v>7432</v>
      </c>
      <c r="C165" s="29" t="s">
        <v>187</v>
      </c>
      <c r="D165" s="5">
        <f>N(0)</f>
        <v>0</v>
      </c>
      <c r="E165" s="30">
        <f>N(0)</f>
        <v>0</v>
      </c>
      <c r="F165" s="30">
        <f t="shared" si="34"/>
        <v>0</v>
      </c>
      <c r="G165" s="30"/>
      <c r="H165" s="31">
        <f t="shared" si="35"/>
        <v>0</v>
      </c>
      <c r="I165" s="32">
        <f>N(0)</f>
        <v>0</v>
      </c>
      <c r="J165" s="30">
        <f t="shared" si="36"/>
        <v>0</v>
      </c>
      <c r="K165" s="30"/>
      <c r="L165" s="30">
        <f t="shared" si="37"/>
        <v>0</v>
      </c>
      <c r="M165" s="5">
        <f>N(0)</f>
        <v>0</v>
      </c>
      <c r="N165" s="30">
        <f>N(0)</f>
        <v>0</v>
      </c>
      <c r="O165" s="30">
        <f t="shared" si="38"/>
        <v>0</v>
      </c>
      <c r="P165" s="30"/>
      <c r="Q165" s="30">
        <f t="shared" si="39"/>
        <v>0</v>
      </c>
      <c r="R165" s="32">
        <f>N(0)</f>
        <v>0</v>
      </c>
      <c r="S165" s="33">
        <f t="shared" si="40"/>
        <v>0</v>
      </c>
      <c r="T165" s="34"/>
      <c r="U165" s="34">
        <f t="shared" si="41"/>
        <v>0</v>
      </c>
    </row>
    <row r="166" spans="1:21" hidden="1" outlineLevel="2">
      <c r="A166" s="22"/>
      <c r="B166" s="28">
        <v>7437</v>
      </c>
      <c r="C166" s="29" t="s">
        <v>188</v>
      </c>
      <c r="D166" s="5">
        <f>N(951500)</f>
        <v>951500</v>
      </c>
      <c r="E166" s="30">
        <f>N(0)</f>
        <v>0</v>
      </c>
      <c r="F166" s="30">
        <f t="shared" si="34"/>
        <v>-951500</v>
      </c>
      <c r="G166" s="30"/>
      <c r="H166" s="31">
        <f t="shared" si="35"/>
        <v>0</v>
      </c>
      <c r="I166" s="32">
        <f>N(250000)</f>
        <v>250000</v>
      </c>
      <c r="J166" s="30">
        <f t="shared" si="36"/>
        <v>-701500</v>
      </c>
      <c r="K166" s="30"/>
      <c r="L166" s="30">
        <f t="shared" si="37"/>
        <v>-280.60000000000002</v>
      </c>
      <c r="M166" s="5">
        <f>N(951500)</f>
        <v>951500</v>
      </c>
      <c r="N166" s="30">
        <f>N(0)</f>
        <v>0</v>
      </c>
      <c r="O166" s="30">
        <f t="shared" si="38"/>
        <v>-951500</v>
      </c>
      <c r="P166" s="30"/>
      <c r="Q166" s="30">
        <f t="shared" si="39"/>
        <v>0</v>
      </c>
      <c r="R166" s="32">
        <f>N(250000)</f>
        <v>250000</v>
      </c>
      <c r="S166" s="33">
        <f t="shared" si="40"/>
        <v>-701500</v>
      </c>
      <c r="T166" s="34"/>
      <c r="U166" s="34">
        <f t="shared" si="41"/>
        <v>-280.60000000000002</v>
      </c>
    </row>
    <row r="167" spans="1:21" hidden="1" outlineLevel="2">
      <c r="A167" s="22"/>
      <c r="B167" s="28">
        <v>7439</v>
      </c>
      <c r="C167" s="29" t="s">
        <v>189</v>
      </c>
      <c r="D167" s="5">
        <f>N(4548060)</f>
        <v>4548060</v>
      </c>
      <c r="E167" s="30">
        <f>N(4880500)</f>
        <v>4880500</v>
      </c>
      <c r="F167" s="30">
        <f t="shared" si="34"/>
        <v>332440</v>
      </c>
      <c r="G167" s="30"/>
      <c r="H167" s="31">
        <f t="shared" si="35"/>
        <v>6.8115971724208588</v>
      </c>
      <c r="I167" s="32">
        <f>N(3911000)</f>
        <v>3911000</v>
      </c>
      <c r="J167" s="30">
        <f t="shared" si="36"/>
        <v>-637060</v>
      </c>
      <c r="K167" s="30"/>
      <c r="L167" s="30">
        <f t="shared" si="37"/>
        <v>-16.288928662746102</v>
      </c>
      <c r="M167" s="5">
        <f>N(4548060)</f>
        <v>4548060</v>
      </c>
      <c r="N167" s="30">
        <f>N(4880500)</f>
        <v>4880500</v>
      </c>
      <c r="O167" s="30">
        <f t="shared" si="38"/>
        <v>332440</v>
      </c>
      <c r="P167" s="30"/>
      <c r="Q167" s="30">
        <f t="shared" si="39"/>
        <v>6.8115971724208588</v>
      </c>
      <c r="R167" s="32">
        <f>N(3911000)</f>
        <v>3911000</v>
      </c>
      <c r="S167" s="33">
        <f t="shared" si="40"/>
        <v>-637060</v>
      </c>
      <c r="T167" s="34"/>
      <c r="U167" s="34">
        <f t="shared" si="41"/>
        <v>-16.288928662746102</v>
      </c>
    </row>
    <row r="168" spans="1:21" hidden="1" outlineLevel="2">
      <c r="A168" s="22"/>
      <c r="B168" s="28">
        <v>7440</v>
      </c>
      <c r="C168" s="29" t="s">
        <v>190</v>
      </c>
      <c r="D168" s="5">
        <f>N(0)</f>
        <v>0</v>
      </c>
      <c r="E168" s="30">
        <f>N(0)</f>
        <v>0</v>
      </c>
      <c r="F168" s="30">
        <f t="shared" si="34"/>
        <v>0</v>
      </c>
      <c r="G168" s="30"/>
      <c r="H168" s="31">
        <f t="shared" si="35"/>
        <v>0</v>
      </c>
      <c r="I168" s="32">
        <f>N(38300)</f>
        <v>38300</v>
      </c>
      <c r="J168" s="30">
        <f t="shared" si="36"/>
        <v>38300</v>
      </c>
      <c r="K168" s="30"/>
      <c r="L168" s="30">
        <f t="shared" si="37"/>
        <v>100</v>
      </c>
      <c r="M168" s="5">
        <f>N(0)</f>
        <v>0</v>
      </c>
      <c r="N168" s="30">
        <f>N(0)</f>
        <v>0</v>
      </c>
      <c r="O168" s="30">
        <f t="shared" si="38"/>
        <v>0</v>
      </c>
      <c r="P168" s="30"/>
      <c r="Q168" s="30">
        <f t="shared" si="39"/>
        <v>0</v>
      </c>
      <c r="R168" s="32">
        <f>N(38300)</f>
        <v>38300</v>
      </c>
      <c r="S168" s="33">
        <f t="shared" si="40"/>
        <v>38300</v>
      </c>
      <c r="T168" s="34"/>
      <c r="U168" s="34">
        <f t="shared" si="41"/>
        <v>100</v>
      </c>
    </row>
    <row r="169" spans="1:21" hidden="1" outlineLevel="2">
      <c r="A169" s="22"/>
      <c r="B169" s="28">
        <v>7445</v>
      </c>
      <c r="C169" s="29" t="s">
        <v>191</v>
      </c>
      <c r="D169" s="5">
        <f>N(62000)</f>
        <v>62000</v>
      </c>
      <c r="E169" s="30">
        <f>N(80000)</f>
        <v>80000</v>
      </c>
      <c r="F169" s="30">
        <f t="shared" si="34"/>
        <v>18000</v>
      </c>
      <c r="G169" s="30"/>
      <c r="H169" s="31">
        <f t="shared" si="35"/>
        <v>22.5</v>
      </c>
      <c r="I169" s="32">
        <f>N(79500)</f>
        <v>79500</v>
      </c>
      <c r="J169" s="30">
        <f t="shared" si="36"/>
        <v>17500</v>
      </c>
      <c r="K169" s="30"/>
      <c r="L169" s="30">
        <f t="shared" si="37"/>
        <v>22.012578616352201</v>
      </c>
      <c r="M169" s="5">
        <f>N(62000)</f>
        <v>62000</v>
      </c>
      <c r="N169" s="30">
        <f>N(80000)</f>
        <v>80000</v>
      </c>
      <c r="O169" s="30">
        <f t="shared" si="38"/>
        <v>18000</v>
      </c>
      <c r="P169" s="30"/>
      <c r="Q169" s="30">
        <f t="shared" si="39"/>
        <v>22.5</v>
      </c>
      <c r="R169" s="32">
        <f>N(79500)</f>
        <v>79500</v>
      </c>
      <c r="S169" s="33">
        <f t="shared" si="40"/>
        <v>17500</v>
      </c>
      <c r="T169" s="34"/>
      <c r="U169" s="34">
        <f t="shared" si="41"/>
        <v>22.012578616352201</v>
      </c>
    </row>
    <row r="170" spans="1:21" hidden="1" outlineLevel="2">
      <c r="A170" s="22"/>
      <c r="B170" s="28">
        <v>7447</v>
      </c>
      <c r="C170" s="29" t="s">
        <v>192</v>
      </c>
      <c r="D170" s="5">
        <f>N(73730)</f>
        <v>73730</v>
      </c>
      <c r="E170" s="30">
        <f>N(190000)</f>
        <v>190000</v>
      </c>
      <c r="F170" s="30">
        <f t="shared" si="34"/>
        <v>116270</v>
      </c>
      <c r="G170" s="30"/>
      <c r="H170" s="31">
        <f t="shared" si="35"/>
        <v>61.194736842105264</v>
      </c>
      <c r="I170" s="32">
        <f>N(105049)</f>
        <v>105049</v>
      </c>
      <c r="J170" s="30">
        <f t="shared" si="36"/>
        <v>31319</v>
      </c>
      <c r="K170" s="30"/>
      <c r="L170" s="30">
        <f t="shared" si="37"/>
        <v>29.813705984826129</v>
      </c>
      <c r="M170" s="5">
        <f>N(73730)</f>
        <v>73730</v>
      </c>
      <c r="N170" s="30">
        <f>N(190000)</f>
        <v>190000</v>
      </c>
      <c r="O170" s="30">
        <f t="shared" si="38"/>
        <v>116270</v>
      </c>
      <c r="P170" s="30"/>
      <c r="Q170" s="30">
        <f t="shared" si="39"/>
        <v>61.194736842105264</v>
      </c>
      <c r="R170" s="32">
        <f>N(105049)</f>
        <v>105049</v>
      </c>
      <c r="S170" s="33">
        <f t="shared" si="40"/>
        <v>31319</v>
      </c>
      <c r="T170" s="34"/>
      <c r="U170" s="34">
        <f t="shared" si="41"/>
        <v>29.813705984826129</v>
      </c>
    </row>
    <row r="171" spans="1:21" hidden="1" outlineLevel="2">
      <c r="A171" s="22"/>
      <c r="B171" s="28">
        <v>7448</v>
      </c>
      <c r="C171" s="29" t="s">
        <v>193</v>
      </c>
      <c r="D171" s="5">
        <f>N(0)</f>
        <v>0</v>
      </c>
      <c r="E171" s="30">
        <f>N(0)</f>
        <v>0</v>
      </c>
      <c r="F171" s="30">
        <f t="shared" si="34"/>
        <v>0</v>
      </c>
      <c r="G171" s="30"/>
      <c r="H171" s="31">
        <f t="shared" si="35"/>
        <v>0</v>
      </c>
      <c r="I171" s="32">
        <f>N(0)</f>
        <v>0</v>
      </c>
      <c r="J171" s="30">
        <f t="shared" si="36"/>
        <v>0</v>
      </c>
      <c r="K171" s="30"/>
      <c r="L171" s="30">
        <f t="shared" si="37"/>
        <v>0</v>
      </c>
      <c r="M171" s="5">
        <f>N(0)</f>
        <v>0</v>
      </c>
      <c r="N171" s="30">
        <f>N(0)</f>
        <v>0</v>
      </c>
      <c r="O171" s="30">
        <f t="shared" si="38"/>
        <v>0</v>
      </c>
      <c r="P171" s="30"/>
      <c r="Q171" s="30">
        <f t="shared" si="39"/>
        <v>0</v>
      </c>
      <c r="R171" s="32">
        <f>N(0)</f>
        <v>0</v>
      </c>
      <c r="S171" s="33">
        <f t="shared" si="40"/>
        <v>0</v>
      </c>
      <c r="T171" s="34"/>
      <c r="U171" s="34">
        <f t="shared" si="41"/>
        <v>0</v>
      </c>
    </row>
    <row r="172" spans="1:21" hidden="1" outlineLevel="2">
      <c r="A172" s="22"/>
      <c r="B172" s="28">
        <v>7460</v>
      </c>
      <c r="C172" s="29" t="s">
        <v>194</v>
      </c>
      <c r="D172" s="5">
        <f>N(634815.56)</f>
        <v>634815.56000000006</v>
      </c>
      <c r="E172" s="30">
        <f>N(635600)</f>
        <v>635600</v>
      </c>
      <c r="F172" s="30">
        <f t="shared" si="34"/>
        <v>784.43999999994412</v>
      </c>
      <c r="G172" s="30"/>
      <c r="H172" s="31">
        <f t="shared" si="35"/>
        <v>0.12341724354939335</v>
      </c>
      <c r="I172" s="32">
        <f>N(598218.04)</f>
        <v>598218.04</v>
      </c>
      <c r="J172" s="30">
        <f t="shared" si="36"/>
        <v>-36597.520000000019</v>
      </c>
      <c r="K172" s="30"/>
      <c r="L172" s="30">
        <f t="shared" si="37"/>
        <v>-6.1177559941188022</v>
      </c>
      <c r="M172" s="5">
        <f>N(634815.56)</f>
        <v>634815.56000000006</v>
      </c>
      <c r="N172" s="30">
        <f>N(635600)</f>
        <v>635600</v>
      </c>
      <c r="O172" s="30">
        <f t="shared" si="38"/>
        <v>784.43999999994412</v>
      </c>
      <c r="P172" s="30"/>
      <c r="Q172" s="30">
        <f t="shared" si="39"/>
        <v>0.12341724354939335</v>
      </c>
      <c r="R172" s="32">
        <f>N(598218.04)</f>
        <v>598218.04</v>
      </c>
      <c r="S172" s="33">
        <f t="shared" si="40"/>
        <v>-36597.520000000019</v>
      </c>
      <c r="T172" s="34"/>
      <c r="U172" s="34">
        <f t="shared" si="41"/>
        <v>-6.1177559941188022</v>
      </c>
    </row>
    <row r="173" spans="1:21" hidden="1" outlineLevel="2">
      <c r="A173" s="22"/>
      <c r="B173" s="28">
        <v>7461</v>
      </c>
      <c r="C173" s="29" t="s">
        <v>195</v>
      </c>
      <c r="D173" s="5">
        <f>N(2493915.8)</f>
        <v>2493915.7999999998</v>
      </c>
      <c r="E173" s="30">
        <f>N(2497000)</f>
        <v>2497000</v>
      </c>
      <c r="F173" s="30">
        <f t="shared" si="34"/>
        <v>3084.2000000001863</v>
      </c>
      <c r="G173" s="30"/>
      <c r="H173" s="31">
        <f t="shared" si="35"/>
        <v>0.12351621946336348</v>
      </c>
      <c r="I173" s="32">
        <f>N(2350142.53)</f>
        <v>2350142.5299999998</v>
      </c>
      <c r="J173" s="30">
        <f t="shared" si="36"/>
        <v>-143773.27000000002</v>
      </c>
      <c r="K173" s="30"/>
      <c r="L173" s="30">
        <f t="shared" si="37"/>
        <v>-6.1176404479604063</v>
      </c>
      <c r="M173" s="5">
        <f>N(2493915.8)</f>
        <v>2493915.7999999998</v>
      </c>
      <c r="N173" s="30">
        <f>N(2497000)</f>
        <v>2497000</v>
      </c>
      <c r="O173" s="30">
        <f t="shared" si="38"/>
        <v>3084.2000000001863</v>
      </c>
      <c r="P173" s="30"/>
      <c r="Q173" s="30">
        <f t="shared" si="39"/>
        <v>0.12351621946336348</v>
      </c>
      <c r="R173" s="32">
        <f>N(2350142.53)</f>
        <v>2350142.5299999998</v>
      </c>
      <c r="S173" s="33">
        <f t="shared" si="40"/>
        <v>-143773.27000000002</v>
      </c>
      <c r="T173" s="34"/>
      <c r="U173" s="34">
        <f t="shared" si="41"/>
        <v>-6.1176404479604063</v>
      </c>
    </row>
    <row r="174" spans="1:21" hidden="1" outlineLevel="1">
      <c r="A174" s="22"/>
      <c r="B174" s="35" t="str">
        <f>"    "&amp;"Kontingent og bevilgninger"</f>
        <v xml:space="preserve">    Kontingent og bevilgninger</v>
      </c>
      <c r="C174" s="36"/>
      <c r="D174" s="37">
        <f>SUM(D163:D173)</f>
        <v>9047429.5599999987</v>
      </c>
      <c r="E174" s="33">
        <f>SUM(E163:E173)</f>
        <v>8570100</v>
      </c>
      <c r="F174" s="33">
        <f t="shared" si="34"/>
        <v>-477329.55999999866</v>
      </c>
      <c r="G174" s="33"/>
      <c r="H174" s="38">
        <f t="shared" si="35"/>
        <v>-5.5697081714332235</v>
      </c>
      <c r="I174" s="39">
        <f>SUM(I163:I173)</f>
        <v>7794604.2599999998</v>
      </c>
      <c r="J174" s="33">
        <f t="shared" si="36"/>
        <v>-1252825.2999999989</v>
      </c>
      <c r="K174" s="33"/>
      <c r="L174" s="33">
        <f t="shared" si="37"/>
        <v>-16.072981490916625</v>
      </c>
      <c r="M174" s="37">
        <f>SUM(M163:M173)</f>
        <v>9047429.5599999987</v>
      </c>
      <c r="N174" s="33">
        <f>SUM(N163:N173)</f>
        <v>8570100</v>
      </c>
      <c r="O174" s="33">
        <f t="shared" si="38"/>
        <v>-477329.55999999866</v>
      </c>
      <c r="P174" s="33"/>
      <c r="Q174" s="33">
        <f t="shared" si="39"/>
        <v>-5.5697081714332235</v>
      </c>
      <c r="R174" s="39">
        <f>SUM(R163:R173)</f>
        <v>7794604.2599999998</v>
      </c>
      <c r="S174" s="33">
        <f t="shared" si="40"/>
        <v>-1252825.2999999989</v>
      </c>
      <c r="T174" s="34"/>
      <c r="U174" s="34">
        <f t="shared" si="41"/>
        <v>-16.072981490916625</v>
      </c>
    </row>
    <row r="175" spans="1:21" hidden="1" outlineLevel="2">
      <c r="A175" s="22"/>
      <c r="B175" s="28">
        <v>7500</v>
      </c>
      <c r="C175" s="29" t="s">
        <v>196</v>
      </c>
      <c r="D175" s="5">
        <f>N(2218)</f>
        <v>2218</v>
      </c>
      <c r="E175" s="30">
        <f>N(66000)</f>
        <v>66000</v>
      </c>
      <c r="F175" s="30">
        <f t="shared" ref="F175:F187" si="42">-D175+E175</f>
        <v>63782</v>
      </c>
      <c r="G175" s="30"/>
      <c r="H175" s="31">
        <f t="shared" ref="H175:H187" si="43">IF(E175=0,0,F175*100/E175)</f>
        <v>96.639393939393941</v>
      </c>
      <c r="I175" s="32">
        <f>N(109305)</f>
        <v>109305</v>
      </c>
      <c r="J175" s="30">
        <f t="shared" ref="J175:J187" si="44">-D175+I175</f>
        <v>107087</v>
      </c>
      <c r="K175" s="30"/>
      <c r="L175" s="30">
        <f t="shared" ref="L175:L187" si="45">IF(I175=0,0,J175*100/I175)</f>
        <v>97.970815607703216</v>
      </c>
      <c r="M175" s="5">
        <f>N(2218)</f>
        <v>2218</v>
      </c>
      <c r="N175" s="30">
        <f>N(66000)</f>
        <v>66000</v>
      </c>
      <c r="O175" s="30">
        <f t="shared" ref="O175:O187" si="46">-M175+N175</f>
        <v>63782</v>
      </c>
      <c r="P175" s="30"/>
      <c r="Q175" s="30">
        <f t="shared" ref="Q175:Q187" si="47">IF(N175=0,0,O175*100/N175)</f>
        <v>96.639393939393941</v>
      </c>
      <c r="R175" s="32">
        <f>N(109305)</f>
        <v>109305</v>
      </c>
      <c r="S175" s="33">
        <f t="shared" ref="S175:S187" si="48">-M175+R175</f>
        <v>107087</v>
      </c>
      <c r="T175" s="34"/>
      <c r="U175" s="34">
        <f t="shared" ref="U175:U187" si="49">IF(R175=0,0,S175*100/R175)</f>
        <v>97.970815607703216</v>
      </c>
    </row>
    <row r="176" spans="1:21" hidden="1" outlineLevel="2">
      <c r="A176" s="22"/>
      <c r="B176" s="28">
        <v>7510</v>
      </c>
      <c r="C176" s="29" t="s">
        <v>197</v>
      </c>
      <c r="D176" s="5">
        <f>N(30944)</f>
        <v>30944</v>
      </c>
      <c r="E176" s="30">
        <f>N(30000)</f>
        <v>30000</v>
      </c>
      <c r="F176" s="30">
        <f t="shared" si="42"/>
        <v>-944</v>
      </c>
      <c r="G176" s="30"/>
      <c r="H176" s="31">
        <f t="shared" si="43"/>
        <v>-3.1466666666666665</v>
      </c>
      <c r="I176" s="32">
        <f>N(29926)</f>
        <v>29926</v>
      </c>
      <c r="J176" s="30">
        <f t="shared" si="44"/>
        <v>-1018</v>
      </c>
      <c r="K176" s="30"/>
      <c r="L176" s="30">
        <f t="shared" si="45"/>
        <v>-3.4017242531577891</v>
      </c>
      <c r="M176" s="5">
        <f>N(30944)</f>
        <v>30944</v>
      </c>
      <c r="N176" s="30">
        <f>N(30000)</f>
        <v>30000</v>
      </c>
      <c r="O176" s="30">
        <f t="shared" si="46"/>
        <v>-944</v>
      </c>
      <c r="P176" s="30"/>
      <c r="Q176" s="30">
        <f t="shared" si="47"/>
        <v>-3.1466666666666665</v>
      </c>
      <c r="R176" s="32">
        <f>N(29926)</f>
        <v>29926</v>
      </c>
      <c r="S176" s="33">
        <f t="shared" si="48"/>
        <v>-1018</v>
      </c>
      <c r="T176" s="34"/>
      <c r="U176" s="34">
        <f t="shared" si="49"/>
        <v>-3.4017242531577891</v>
      </c>
    </row>
    <row r="177" spans="1:21" hidden="1" outlineLevel="1">
      <c r="A177" s="22"/>
      <c r="B177" s="35" t="str">
        <f>"    "&amp;"Forsikringspremie, garanti- og servicekostnad"</f>
        <v xml:space="preserve">    Forsikringspremie, garanti- og servicekostnad</v>
      </c>
      <c r="C177" s="36"/>
      <c r="D177" s="37">
        <f>SUM(D175:D176)</f>
        <v>33162</v>
      </c>
      <c r="E177" s="33">
        <f>SUM(E175:E176)</f>
        <v>96000</v>
      </c>
      <c r="F177" s="33">
        <f t="shared" si="42"/>
        <v>62838</v>
      </c>
      <c r="G177" s="33"/>
      <c r="H177" s="38">
        <f t="shared" si="43"/>
        <v>65.456249999999997</v>
      </c>
      <c r="I177" s="39">
        <f>SUM(I175:I176)</f>
        <v>139231</v>
      </c>
      <c r="J177" s="33">
        <f t="shared" si="44"/>
        <v>106069</v>
      </c>
      <c r="K177" s="33"/>
      <c r="L177" s="33">
        <f t="shared" si="45"/>
        <v>76.182028427577194</v>
      </c>
      <c r="M177" s="37">
        <f>SUM(M175:M176)</f>
        <v>33162</v>
      </c>
      <c r="N177" s="33">
        <f>SUM(N175:N176)</f>
        <v>96000</v>
      </c>
      <c r="O177" s="33">
        <f t="shared" si="46"/>
        <v>62838</v>
      </c>
      <c r="P177" s="33"/>
      <c r="Q177" s="33">
        <f t="shared" si="47"/>
        <v>65.456249999999997</v>
      </c>
      <c r="R177" s="39">
        <f>SUM(R175:R176)</f>
        <v>139231</v>
      </c>
      <c r="S177" s="33">
        <f t="shared" si="48"/>
        <v>106069</v>
      </c>
      <c r="T177" s="34"/>
      <c r="U177" s="34">
        <f t="shared" si="49"/>
        <v>76.182028427577194</v>
      </c>
    </row>
    <row r="178" spans="1:21" hidden="1" outlineLevel="2">
      <c r="A178" s="22"/>
      <c r="B178" s="28">
        <v>7200</v>
      </c>
      <c r="C178" s="29" t="s">
        <v>198</v>
      </c>
      <c r="D178" s="5">
        <f>N(0)</f>
        <v>0</v>
      </c>
      <c r="E178" s="30">
        <f>N(25000)</f>
        <v>25000</v>
      </c>
      <c r="F178" s="30">
        <f t="shared" si="42"/>
        <v>25000</v>
      </c>
      <c r="G178" s="30"/>
      <c r="H178" s="31">
        <f t="shared" si="43"/>
        <v>100</v>
      </c>
      <c r="I178" s="32">
        <f>N(0)</f>
        <v>0</v>
      </c>
      <c r="J178" s="30">
        <f t="shared" si="44"/>
        <v>0</v>
      </c>
      <c r="K178" s="30"/>
      <c r="L178" s="30">
        <f t="shared" si="45"/>
        <v>0</v>
      </c>
      <c r="M178" s="5">
        <f>N(0)</f>
        <v>0</v>
      </c>
      <c r="N178" s="30">
        <f>N(25000)</f>
        <v>25000</v>
      </c>
      <c r="O178" s="30">
        <f t="shared" si="46"/>
        <v>25000</v>
      </c>
      <c r="P178" s="30"/>
      <c r="Q178" s="30">
        <f t="shared" si="47"/>
        <v>100</v>
      </c>
      <c r="R178" s="32">
        <f>N(0)</f>
        <v>0</v>
      </c>
      <c r="S178" s="33">
        <f t="shared" si="48"/>
        <v>0</v>
      </c>
      <c r="T178" s="34"/>
      <c r="U178" s="34">
        <f t="shared" si="49"/>
        <v>0</v>
      </c>
    </row>
    <row r="179" spans="1:21" hidden="1" outlineLevel="2">
      <c r="A179" s="22"/>
      <c r="B179" s="28">
        <v>7700</v>
      </c>
      <c r="C179" s="29" t="s">
        <v>199</v>
      </c>
      <c r="D179" s="5">
        <f>N(1127825.95)</f>
        <v>1127825.95</v>
      </c>
      <c r="E179" s="30">
        <f>N(826000)</f>
        <v>826000</v>
      </c>
      <c r="F179" s="30">
        <f t="shared" si="42"/>
        <v>-301825.94999999995</v>
      </c>
      <c r="G179" s="30"/>
      <c r="H179" s="31">
        <f t="shared" si="43"/>
        <v>-36.540671912832927</v>
      </c>
      <c r="I179" s="32">
        <f>N(727071.6)</f>
        <v>727071.6</v>
      </c>
      <c r="J179" s="30">
        <f t="shared" si="44"/>
        <v>-400754.35</v>
      </c>
      <c r="K179" s="30"/>
      <c r="L179" s="30">
        <f t="shared" si="45"/>
        <v>-55.118966275123384</v>
      </c>
      <c r="M179" s="5">
        <f>N(1127825.95)</f>
        <v>1127825.95</v>
      </c>
      <c r="N179" s="30">
        <f>N(826000)</f>
        <v>826000</v>
      </c>
      <c r="O179" s="30">
        <f t="shared" si="46"/>
        <v>-301825.94999999995</v>
      </c>
      <c r="P179" s="30"/>
      <c r="Q179" s="30">
        <f t="shared" si="47"/>
        <v>-36.540671912832927</v>
      </c>
      <c r="R179" s="32">
        <f>N(727071.6)</f>
        <v>727071.6</v>
      </c>
      <c r="S179" s="33">
        <f t="shared" si="48"/>
        <v>-400754.35</v>
      </c>
      <c r="T179" s="34"/>
      <c r="U179" s="34">
        <f t="shared" si="49"/>
        <v>-55.118966275123384</v>
      </c>
    </row>
    <row r="180" spans="1:21" hidden="1" outlineLevel="2">
      <c r="A180" s="22"/>
      <c r="B180" s="28">
        <v>7710</v>
      </c>
      <c r="C180" s="29" t="s">
        <v>200</v>
      </c>
      <c r="D180" s="5">
        <f>N(882646.5)</f>
        <v>882646.5</v>
      </c>
      <c r="E180" s="30">
        <f>N(830000)</f>
        <v>830000</v>
      </c>
      <c r="F180" s="30">
        <f t="shared" si="42"/>
        <v>-52646.5</v>
      </c>
      <c r="G180" s="30"/>
      <c r="H180" s="31">
        <f t="shared" si="43"/>
        <v>-6.3429518072289159</v>
      </c>
      <c r="I180" s="32">
        <f>N(64810.8)</f>
        <v>64810.8</v>
      </c>
      <c r="J180" s="30">
        <f t="shared" si="44"/>
        <v>-817835.7</v>
      </c>
      <c r="K180" s="30"/>
      <c r="L180" s="30">
        <f t="shared" si="45"/>
        <v>-1261.8818159936307</v>
      </c>
      <c r="M180" s="5">
        <f>N(882646.5)</f>
        <v>882646.5</v>
      </c>
      <c r="N180" s="30">
        <f>N(830000)</f>
        <v>830000</v>
      </c>
      <c r="O180" s="30">
        <f t="shared" si="46"/>
        <v>-52646.5</v>
      </c>
      <c r="P180" s="30"/>
      <c r="Q180" s="30">
        <f t="shared" si="47"/>
        <v>-6.3429518072289159</v>
      </c>
      <c r="R180" s="32">
        <f>N(64810.8)</f>
        <v>64810.8</v>
      </c>
      <c r="S180" s="33">
        <f t="shared" si="48"/>
        <v>-817835.7</v>
      </c>
      <c r="T180" s="34"/>
      <c r="U180" s="34">
        <f t="shared" si="49"/>
        <v>-1261.8818159936307</v>
      </c>
    </row>
    <row r="181" spans="1:21" hidden="1" outlineLevel="2">
      <c r="A181" s="22"/>
      <c r="B181" s="28">
        <v>7720</v>
      </c>
      <c r="C181" s="29" t="s">
        <v>201</v>
      </c>
      <c r="D181" s="5">
        <f>N(1401089.36)</f>
        <v>1401089.36</v>
      </c>
      <c r="E181" s="30">
        <f>N(740000)</f>
        <v>740000</v>
      </c>
      <c r="F181" s="30">
        <f t="shared" si="42"/>
        <v>-661089.3600000001</v>
      </c>
      <c r="G181" s="30"/>
      <c r="H181" s="31">
        <f t="shared" si="43"/>
        <v>-89.336400000000012</v>
      </c>
      <c r="I181" s="32">
        <f>N(421632.69)</f>
        <v>421632.69</v>
      </c>
      <c r="J181" s="30">
        <f t="shared" si="44"/>
        <v>-979456.67000000016</v>
      </c>
      <c r="K181" s="30"/>
      <c r="L181" s="30">
        <f t="shared" si="45"/>
        <v>-232.30093235892124</v>
      </c>
      <c r="M181" s="5">
        <f>N(1401089.36)</f>
        <v>1401089.36</v>
      </c>
      <c r="N181" s="30">
        <f>N(740000)</f>
        <v>740000</v>
      </c>
      <c r="O181" s="30">
        <f t="shared" si="46"/>
        <v>-661089.3600000001</v>
      </c>
      <c r="P181" s="30"/>
      <c r="Q181" s="30">
        <f t="shared" si="47"/>
        <v>-89.336400000000012</v>
      </c>
      <c r="R181" s="32">
        <f>N(421632.69)</f>
        <v>421632.69</v>
      </c>
      <c r="S181" s="33">
        <f t="shared" si="48"/>
        <v>-979456.67000000016</v>
      </c>
      <c r="T181" s="34"/>
      <c r="U181" s="34">
        <f t="shared" si="49"/>
        <v>-232.30093235892124</v>
      </c>
    </row>
    <row r="182" spans="1:21" hidden="1" outlineLevel="2">
      <c r="A182" s="22"/>
      <c r="B182" s="28">
        <v>7770</v>
      </c>
      <c r="C182" s="29" t="s">
        <v>202</v>
      </c>
      <c r="D182" s="5">
        <f>N(155039.43)</f>
        <v>155039.43</v>
      </c>
      <c r="E182" s="30">
        <f>N(33000)</f>
        <v>33000</v>
      </c>
      <c r="F182" s="30">
        <f t="shared" si="42"/>
        <v>-122039.43</v>
      </c>
      <c r="G182" s="30"/>
      <c r="H182" s="31">
        <f t="shared" si="43"/>
        <v>-369.81645454545452</v>
      </c>
      <c r="I182" s="32">
        <f>N(53256.18)</f>
        <v>53256.18</v>
      </c>
      <c r="J182" s="30">
        <f t="shared" si="44"/>
        <v>-101783.25</v>
      </c>
      <c r="K182" s="30"/>
      <c r="L182" s="30">
        <f t="shared" si="45"/>
        <v>-191.12007282535097</v>
      </c>
      <c r="M182" s="5">
        <f>N(155039.43)</f>
        <v>155039.43</v>
      </c>
      <c r="N182" s="30">
        <f>N(33000)</f>
        <v>33000</v>
      </c>
      <c r="O182" s="30">
        <f t="shared" si="46"/>
        <v>-122039.43</v>
      </c>
      <c r="P182" s="30"/>
      <c r="Q182" s="30">
        <f t="shared" si="47"/>
        <v>-369.81645454545452</v>
      </c>
      <c r="R182" s="32">
        <f>N(53256.18)</f>
        <v>53256.18</v>
      </c>
      <c r="S182" s="33">
        <f t="shared" si="48"/>
        <v>-101783.25</v>
      </c>
      <c r="T182" s="34"/>
      <c r="U182" s="34">
        <f t="shared" si="49"/>
        <v>-191.12007282535097</v>
      </c>
    </row>
    <row r="183" spans="1:21" hidden="1" outlineLevel="2">
      <c r="A183" s="22"/>
      <c r="B183" s="28">
        <v>7790</v>
      </c>
      <c r="C183" s="29" t="s">
        <v>204</v>
      </c>
      <c r="D183" s="5">
        <f>N(38068.08)</f>
        <v>38068.080000000002</v>
      </c>
      <c r="E183" s="30">
        <f>N(108900)</f>
        <v>108900</v>
      </c>
      <c r="F183" s="30">
        <f t="shared" si="42"/>
        <v>70831.92</v>
      </c>
      <c r="G183" s="30"/>
      <c r="H183" s="31">
        <f t="shared" si="43"/>
        <v>65.043085399449041</v>
      </c>
      <c r="I183" s="32">
        <f>N(10660.59)</f>
        <v>10660.59</v>
      </c>
      <c r="J183" s="30">
        <f t="shared" si="44"/>
        <v>-27407.49</v>
      </c>
      <c r="K183" s="30"/>
      <c r="L183" s="30">
        <f t="shared" si="45"/>
        <v>-257.09168066682986</v>
      </c>
      <c r="M183" s="5">
        <f>N(38068.08)</f>
        <v>38068.080000000002</v>
      </c>
      <c r="N183" s="30">
        <f>N(108900)</f>
        <v>108900</v>
      </c>
      <c r="O183" s="30">
        <f t="shared" si="46"/>
        <v>70831.92</v>
      </c>
      <c r="P183" s="30"/>
      <c r="Q183" s="30">
        <f t="shared" si="47"/>
        <v>65.043085399449041</v>
      </c>
      <c r="R183" s="32">
        <f>N(10660.59)</f>
        <v>10660.59</v>
      </c>
      <c r="S183" s="33">
        <f t="shared" si="48"/>
        <v>-27407.49</v>
      </c>
      <c r="T183" s="34"/>
      <c r="U183" s="34">
        <f t="shared" si="49"/>
        <v>-257.09168066682986</v>
      </c>
    </row>
    <row r="184" spans="1:21" hidden="1" outlineLevel="2">
      <c r="A184" s="22"/>
      <c r="B184" s="28">
        <v>7792</v>
      </c>
      <c r="C184" s="29" t="s">
        <v>206</v>
      </c>
      <c r="D184" s="5">
        <f>N(29645.9)</f>
        <v>29645.9</v>
      </c>
      <c r="E184" s="30">
        <f>N(11000)</f>
        <v>11000</v>
      </c>
      <c r="F184" s="30">
        <f t="shared" si="42"/>
        <v>-18645.900000000001</v>
      </c>
      <c r="G184" s="30"/>
      <c r="H184" s="31">
        <f t="shared" si="43"/>
        <v>-169.50818181818184</v>
      </c>
      <c r="I184" s="32">
        <f>N(34301)</f>
        <v>34301</v>
      </c>
      <c r="J184" s="30">
        <f t="shared" si="44"/>
        <v>4655.0999999999985</v>
      </c>
      <c r="K184" s="30"/>
      <c r="L184" s="30">
        <f t="shared" si="45"/>
        <v>13.571324451182178</v>
      </c>
      <c r="M184" s="5">
        <f>N(29645.9)</f>
        <v>29645.9</v>
      </c>
      <c r="N184" s="30">
        <f>N(11000)</f>
        <v>11000</v>
      </c>
      <c r="O184" s="30">
        <f t="shared" si="46"/>
        <v>-18645.900000000001</v>
      </c>
      <c r="P184" s="30"/>
      <c r="Q184" s="30">
        <f t="shared" si="47"/>
        <v>-169.50818181818184</v>
      </c>
      <c r="R184" s="32">
        <f>N(34301)</f>
        <v>34301</v>
      </c>
      <c r="S184" s="33">
        <f t="shared" si="48"/>
        <v>4655.0999999999985</v>
      </c>
      <c r="T184" s="34"/>
      <c r="U184" s="34">
        <f t="shared" si="49"/>
        <v>13.571324451182178</v>
      </c>
    </row>
    <row r="185" spans="1:21" hidden="1" outlineLevel="1">
      <c r="A185" s="22"/>
      <c r="B185" s="35" t="str">
        <f>"    "&amp;"Annen kostnad"</f>
        <v xml:space="preserve">    Annen kostnad</v>
      </c>
      <c r="C185" s="36"/>
      <c r="D185" s="37">
        <f>SUM(D178:D184)</f>
        <v>3634315.22</v>
      </c>
      <c r="E185" s="33">
        <f>SUM(E178:E184)</f>
        <v>2573900</v>
      </c>
      <c r="F185" s="33">
        <f t="shared" si="42"/>
        <v>-1060415.2200000002</v>
      </c>
      <c r="G185" s="33"/>
      <c r="H185" s="38">
        <f t="shared" si="43"/>
        <v>-41.198773068106767</v>
      </c>
      <c r="I185" s="39">
        <f>SUM(I178:I184)</f>
        <v>1311732.8600000001</v>
      </c>
      <c r="J185" s="33">
        <f t="shared" si="44"/>
        <v>-2322582.3600000003</v>
      </c>
      <c r="K185" s="33"/>
      <c r="L185" s="33">
        <f t="shared" si="45"/>
        <v>-177.0621466325087</v>
      </c>
      <c r="M185" s="37">
        <f>SUM(M178:M184)</f>
        <v>3634315.22</v>
      </c>
      <c r="N185" s="33">
        <f>SUM(N178:N184)</f>
        <v>2573900</v>
      </c>
      <c r="O185" s="33">
        <f t="shared" si="46"/>
        <v>-1060415.2200000002</v>
      </c>
      <c r="P185" s="33"/>
      <c r="Q185" s="33">
        <f t="shared" si="47"/>
        <v>-41.198773068106767</v>
      </c>
      <c r="R185" s="39">
        <f>SUM(R178:R184)</f>
        <v>1311732.8600000001</v>
      </c>
      <c r="S185" s="33">
        <f t="shared" si="48"/>
        <v>-2322582.3600000003</v>
      </c>
      <c r="T185" s="34"/>
      <c r="U185" s="34">
        <f t="shared" si="49"/>
        <v>-177.0621466325087</v>
      </c>
    </row>
    <row r="186" spans="1:21" hidden="1" outlineLevel="2">
      <c r="A186" s="22"/>
      <c r="B186" s="28">
        <v>7830</v>
      </c>
      <c r="C186" s="29" t="s">
        <v>207</v>
      </c>
      <c r="D186" s="5">
        <f>N(200)</f>
        <v>200</v>
      </c>
      <c r="E186" s="30">
        <f>N(0)</f>
        <v>0</v>
      </c>
      <c r="F186" s="30">
        <f t="shared" si="42"/>
        <v>-200</v>
      </c>
      <c r="G186" s="30"/>
      <c r="H186" s="31">
        <f t="shared" si="43"/>
        <v>0</v>
      </c>
      <c r="I186" s="32">
        <f>N(178621.51)</f>
        <v>178621.51</v>
      </c>
      <c r="J186" s="30">
        <f t="shared" si="44"/>
        <v>178421.51</v>
      </c>
      <c r="K186" s="30"/>
      <c r="L186" s="30">
        <f t="shared" si="45"/>
        <v>99.888031402265042</v>
      </c>
      <c r="M186" s="5">
        <f>N(200)</f>
        <v>200</v>
      </c>
      <c r="N186" s="30">
        <f>N(0)</f>
        <v>0</v>
      </c>
      <c r="O186" s="30">
        <f t="shared" si="46"/>
        <v>-200</v>
      </c>
      <c r="P186" s="30"/>
      <c r="Q186" s="30">
        <f t="shared" si="47"/>
        <v>0</v>
      </c>
      <c r="R186" s="32">
        <f>N(178621.51)</f>
        <v>178621.51</v>
      </c>
      <c r="S186" s="33">
        <f t="shared" si="48"/>
        <v>178421.51</v>
      </c>
      <c r="T186" s="34"/>
      <c r="U186" s="34">
        <f t="shared" si="49"/>
        <v>99.888031402265042</v>
      </c>
    </row>
    <row r="187" spans="1:21" hidden="1" outlineLevel="2">
      <c r="A187" s="22"/>
      <c r="B187" s="28">
        <v>7831</v>
      </c>
      <c r="C187" s="29" t="s">
        <v>208</v>
      </c>
      <c r="D187" s="5">
        <f>N(0)</f>
        <v>0</v>
      </c>
      <c r="E187" s="30">
        <f>N(0)</f>
        <v>0</v>
      </c>
      <c r="F187" s="30">
        <f t="shared" si="42"/>
        <v>0</v>
      </c>
      <c r="G187" s="30"/>
      <c r="H187" s="31">
        <f t="shared" si="43"/>
        <v>0</v>
      </c>
      <c r="I187" s="32">
        <f>N(-195461.73)</f>
        <v>-195461.73</v>
      </c>
      <c r="J187" s="30">
        <f t="shared" si="44"/>
        <v>-195461.73</v>
      </c>
      <c r="K187" s="30"/>
      <c r="L187" s="30">
        <f t="shared" si="45"/>
        <v>100</v>
      </c>
      <c r="M187" s="5">
        <f>N(0)</f>
        <v>0</v>
      </c>
      <c r="N187" s="30">
        <f>N(0)</f>
        <v>0</v>
      </c>
      <c r="O187" s="30">
        <f t="shared" si="46"/>
        <v>0</v>
      </c>
      <c r="P187" s="30"/>
      <c r="Q187" s="30">
        <f t="shared" si="47"/>
        <v>0</v>
      </c>
      <c r="R187" s="32">
        <f>N(-195461.73)</f>
        <v>-195461.73</v>
      </c>
      <c r="S187" s="33">
        <f t="shared" si="48"/>
        <v>-195461.73</v>
      </c>
      <c r="T187" s="34"/>
      <c r="U187" s="34">
        <f t="shared" si="49"/>
        <v>100</v>
      </c>
    </row>
    <row r="188" spans="1:21" hidden="1" outlineLevel="1">
      <c r="A188" s="22"/>
      <c r="B188" s="35" t="str">
        <f>"    "&amp;"Tap o.l."</f>
        <v xml:space="preserve">    Tap o.l.</v>
      </c>
      <c r="C188" s="36"/>
      <c r="D188" s="37">
        <f>SUM(D186:D187)</f>
        <v>200</v>
      </c>
      <c r="E188" s="33">
        <f>SUM(E186:E187)</f>
        <v>0</v>
      </c>
      <c r="F188" s="33">
        <f>-D188+E188</f>
        <v>-200</v>
      </c>
      <c r="G188" s="33"/>
      <c r="H188" s="38">
        <f>IF(E188=0,0,F188*100/E188)</f>
        <v>0</v>
      </c>
      <c r="I188" s="39">
        <f>SUM(I186:I187)</f>
        <v>-16840.22</v>
      </c>
      <c r="J188" s="33">
        <f>-D188+I188</f>
        <v>-17040.22</v>
      </c>
      <c r="K188" s="33"/>
      <c r="L188" s="33">
        <f>IF(I188=0,0,J188*100/I188)</f>
        <v>101.18763294066228</v>
      </c>
      <c r="M188" s="37">
        <f>SUM(M186:M187)</f>
        <v>200</v>
      </c>
      <c r="N188" s="33">
        <f>SUM(N186:N187)</f>
        <v>0</v>
      </c>
      <c r="O188" s="33">
        <f>-M188+N188</f>
        <v>-200</v>
      </c>
      <c r="P188" s="33"/>
      <c r="Q188" s="33">
        <f>IF(N188=0,0,O188*100/N188)</f>
        <v>0</v>
      </c>
      <c r="R188" s="39">
        <f>SUM(R186:R187)</f>
        <v>-16840.22</v>
      </c>
      <c r="S188" s="33">
        <f>-M188+R188</f>
        <v>-17040.22</v>
      </c>
      <c r="T188" s="34"/>
      <c r="U188" s="34">
        <f>IF(R188=0,0,S188*100/R188)</f>
        <v>101.18763294066228</v>
      </c>
    </row>
    <row r="189" spans="1:21" collapsed="1">
      <c r="A189" s="22"/>
      <c r="B189" s="41" t="s">
        <v>18</v>
      </c>
      <c r="C189" s="42"/>
      <c r="D189" s="43">
        <f ca="1">SUM(OSRRefD18_2x_0)</f>
        <v>27921093.679999996</v>
      </c>
      <c r="E189" s="44">
        <f ca="1">SUM(OSRRefE18_2x_0)</f>
        <v>30938600.009999998</v>
      </c>
      <c r="F189" s="44">
        <f ca="1">-D189+E189</f>
        <v>3017506.3300000019</v>
      </c>
      <c r="G189" s="44"/>
      <c r="H189" s="45">
        <f ca="1">IF(E189=0,0,F189*100/E189)</f>
        <v>9.7532090302233492</v>
      </c>
      <c r="I189" s="46">
        <f ca="1">SUM(OSRRefI18_2x_0)</f>
        <v>24399167.039999999</v>
      </c>
      <c r="J189" s="44">
        <f ca="1">-D189+I189</f>
        <v>-3521926.6399999969</v>
      </c>
      <c r="K189" s="44"/>
      <c r="L189" s="44">
        <f ca="1">IF(I189=0,0,J189*100/I189)</f>
        <v>-14.434618338511925</v>
      </c>
      <c r="M189" s="43">
        <f ca="1">SUM(OSRRefM18_2x_0)</f>
        <v>27921093.679999996</v>
      </c>
      <c r="N189" s="44">
        <f ca="1">SUM(OSRRefN18_2x_0)</f>
        <v>30938600.009999998</v>
      </c>
      <c r="O189" s="44">
        <f ca="1">-M189+N189</f>
        <v>3017506.3300000019</v>
      </c>
      <c r="P189" s="44"/>
      <c r="Q189" s="44">
        <f ca="1">IF(N189=0,0,O189*100/N189)</f>
        <v>9.7532090302233492</v>
      </c>
      <c r="R189" s="46">
        <f ca="1">SUM(OSRRefR18_2x_0)</f>
        <v>24399167.039999999</v>
      </c>
      <c r="S189" s="44">
        <f ca="1">-M189+R189</f>
        <v>-3521926.6399999969</v>
      </c>
      <c r="T189" s="47"/>
      <c r="U189" s="47">
        <f ca="1">IF(R189=0,0,S189*100/R189)</f>
        <v>-14.434618338511925</v>
      </c>
    </row>
    <row r="190" spans="1:21">
      <c r="A190" s="22"/>
      <c r="B190" s="48" t="s">
        <v>19</v>
      </c>
      <c r="C190" s="49"/>
      <c r="D190" s="50">
        <f ca="1">SUM(OSRRefD19x_0)</f>
        <v>45013574.00999999</v>
      </c>
      <c r="E190" s="51">
        <f ca="1">SUM(OSRRefE19x_0)</f>
        <v>49228600.012254998</v>
      </c>
      <c r="F190" s="51">
        <f ca="1">-D190+E190</f>
        <v>4215026.0022550076</v>
      </c>
      <c r="G190" s="51"/>
      <c r="H190" s="52">
        <f ca="1">IF(E190=0,0,F190*100/E190)</f>
        <v>8.5621488346321382</v>
      </c>
      <c r="I190" s="53">
        <f ca="1">SUM(OSRRefI19x_0)</f>
        <v>40676648.359999999</v>
      </c>
      <c r="J190" s="51">
        <f ca="1">-D190+I190</f>
        <v>-4336925.6499999911</v>
      </c>
      <c r="K190" s="51"/>
      <c r="L190" s="51">
        <f ca="1">IF(I190=0,0,J190*100/I190)</f>
        <v>-10.661954278083474</v>
      </c>
      <c r="M190" s="50">
        <f ca="1">SUM(OSRRefM19x_0)</f>
        <v>45013574.00999999</v>
      </c>
      <c r="N190" s="51">
        <f ca="1">SUM(OSRRefN19x_0)</f>
        <v>49228600.012254998</v>
      </c>
      <c r="O190" s="51">
        <f ca="1">-M190+N190</f>
        <v>4215026.0022550076</v>
      </c>
      <c r="P190" s="51"/>
      <c r="Q190" s="51">
        <f ca="1">IF(N190=0,0,O190*100/N190)</f>
        <v>8.5621488346321382</v>
      </c>
      <c r="R190" s="53">
        <f ca="1">SUM(OSRRefR19x_0)</f>
        <v>40676648.359999999</v>
      </c>
      <c r="S190" s="51">
        <f ca="1">-M190+R190</f>
        <v>-4336925.6499999911</v>
      </c>
      <c r="T190" s="54"/>
      <c r="U190" s="54">
        <f ca="1">IF(R190=0,0,S190*100/R190)</f>
        <v>-10.661954278083474</v>
      </c>
    </row>
    <row r="191" spans="1:21" ht="9.75" customHeight="1">
      <c r="B191" s="57"/>
      <c r="C191" s="24"/>
      <c r="D191" s="58"/>
      <c r="F191" s="59"/>
      <c r="G191" s="59"/>
      <c r="H191" s="60"/>
      <c r="I191" s="61"/>
      <c r="J191" s="59"/>
      <c r="K191" s="59"/>
      <c r="L191" s="59"/>
      <c r="M191" s="62"/>
      <c r="O191" s="59"/>
      <c r="P191" s="59"/>
      <c r="Q191" s="59"/>
      <c r="R191" s="56"/>
      <c r="S191" s="59"/>
      <c r="T191" s="63"/>
      <c r="U191" s="63"/>
    </row>
    <row r="192" spans="1:21" ht="15.6">
      <c r="B192" s="64" t="s">
        <v>209</v>
      </c>
      <c r="C192" s="65"/>
      <c r="D192" s="66">
        <f ca="1">SUM(D47)-SUM(D190)</f>
        <v>9600.1400000154972</v>
      </c>
      <c r="E192" s="67">
        <f ca="1">SUM(E47)-SUM(E190)</f>
        <v>-819999.93225499988</v>
      </c>
      <c r="F192" s="67">
        <f ca="1">D192-E192</f>
        <v>829600.07225501537</v>
      </c>
      <c r="G192" s="67"/>
      <c r="H192" s="68">
        <f ca="1">IF(E192=0,0,F192*100/E192)</f>
        <v>-101.17074887721212</v>
      </c>
      <c r="I192" s="69">
        <f ca="1">SUM(I47)-SUM(I190)</f>
        <v>2935347.1499999985</v>
      </c>
      <c r="J192" s="67">
        <f ca="1">D192-I192</f>
        <v>-2925747.009999983</v>
      </c>
      <c r="K192" s="67"/>
      <c r="L192" s="67">
        <f ca="1">IF(I192=0,0,J192*100/I192)</f>
        <v>-99.672947031153868</v>
      </c>
      <c r="M192" s="66">
        <f ca="1">SUM(M47)-SUM(M190)</f>
        <v>9600.1400000154972</v>
      </c>
      <c r="N192" s="67">
        <f ca="1">SUM(N47)-SUM(N190)</f>
        <v>-819999.93225499988</v>
      </c>
      <c r="O192" s="67">
        <f ca="1">M192-N192</f>
        <v>829600.07225501537</v>
      </c>
      <c r="P192" s="67"/>
      <c r="Q192" s="67">
        <f ca="1">IF(N192=0,0,O192*100/N192)</f>
        <v>-101.17074887721212</v>
      </c>
      <c r="R192" s="69">
        <f ca="1">SUM(R47)-SUM(R190)</f>
        <v>2935347.1499999985</v>
      </c>
      <c r="S192" s="67">
        <f ca="1">M192-R192</f>
        <v>-2925747.009999983</v>
      </c>
      <c r="T192" s="70"/>
      <c r="U192" s="71">
        <f ca="1">IF(R192=0,0,S192*100/R192)</f>
        <v>-99.672947031153868</v>
      </c>
    </row>
    <row r="193" spans="1:21">
      <c r="B193" s="27"/>
      <c r="C193" s="24"/>
      <c r="D193" s="27"/>
      <c r="F193" s="72"/>
      <c r="G193" s="72"/>
      <c r="H193" s="73"/>
      <c r="I193" s="56"/>
      <c r="J193" s="72"/>
      <c r="K193" s="72"/>
      <c r="L193" s="72"/>
      <c r="M193" s="27"/>
      <c r="O193" s="72"/>
      <c r="P193" s="72"/>
      <c r="Q193" s="72"/>
      <c r="R193" s="56"/>
      <c r="S193" s="72"/>
      <c r="T193" s="74"/>
      <c r="U193" s="74"/>
    </row>
    <row r="194" spans="1:21" hidden="1" outlineLevel="2">
      <c r="A194" s="22"/>
      <c r="B194" s="28">
        <v>8050</v>
      </c>
      <c r="C194" s="29" t="s">
        <v>210</v>
      </c>
      <c r="D194" s="5">
        <f>-N(-1470474.21)</f>
        <v>1470474.21</v>
      </c>
      <c r="E194" s="30">
        <f>-N(0)</f>
        <v>0</v>
      </c>
      <c r="F194" s="30">
        <f t="shared" ref="F194:F199" si="50">D194-E194</f>
        <v>1470474.21</v>
      </c>
      <c r="G194" s="30"/>
      <c r="H194" s="31">
        <f t="shared" ref="H194:H207" si="51">IF(E194=0,0,F194*100/E194)</f>
        <v>0</v>
      </c>
      <c r="I194" s="32">
        <f>-N(-856042.65)</f>
        <v>856042.65</v>
      </c>
      <c r="J194" s="30">
        <f t="shared" ref="J194:J199" si="52">D194-I194</f>
        <v>614431.55999999994</v>
      </c>
      <c r="K194" s="30"/>
      <c r="L194" s="30">
        <f t="shared" ref="L194:L207" si="53">IF(I194=0,0,J194*100/I194)</f>
        <v>71.775811637422493</v>
      </c>
      <c r="M194" s="5">
        <f>-N(-1470474.21)</f>
        <v>1470474.21</v>
      </c>
      <c r="N194" s="30">
        <f>-N(0)</f>
        <v>0</v>
      </c>
      <c r="O194" s="30">
        <f t="shared" ref="O194:O199" si="54">M194-N194</f>
        <v>1470474.21</v>
      </c>
      <c r="P194" s="30"/>
      <c r="Q194" s="30">
        <f t="shared" ref="Q194:Q207" si="55">IF(N194=0,0,O194*100/N194)</f>
        <v>0</v>
      </c>
      <c r="R194" s="32">
        <f>-N(-856042.65)</f>
        <v>856042.65</v>
      </c>
      <c r="S194" s="33">
        <f t="shared" ref="S194:S199" si="56">M194-R194</f>
        <v>614431.55999999994</v>
      </c>
      <c r="T194" s="34"/>
      <c r="U194" s="34">
        <f t="shared" ref="U194:U207" si="57">IF(R194=0,0,S194*100/R194)</f>
        <v>71.775811637422493</v>
      </c>
    </row>
    <row r="195" spans="1:21" hidden="1" outlineLevel="2">
      <c r="A195" s="22"/>
      <c r="B195" s="28">
        <v>8060</v>
      </c>
      <c r="C195" s="29" t="s">
        <v>211</v>
      </c>
      <c r="D195" s="5">
        <f>-N(-53230.26)</f>
        <v>53230.26</v>
      </c>
      <c r="E195" s="30">
        <f>-N(0)</f>
        <v>0</v>
      </c>
      <c r="F195" s="30">
        <f t="shared" si="50"/>
        <v>53230.26</v>
      </c>
      <c r="G195" s="30"/>
      <c r="H195" s="31">
        <f t="shared" si="51"/>
        <v>0</v>
      </c>
      <c r="I195" s="32">
        <f>-N(-10539.76)</f>
        <v>10539.76</v>
      </c>
      <c r="J195" s="30">
        <f t="shared" si="52"/>
        <v>42690.5</v>
      </c>
      <c r="K195" s="30"/>
      <c r="L195" s="30">
        <f t="shared" si="53"/>
        <v>405.04242980864836</v>
      </c>
      <c r="M195" s="5">
        <f>-N(-53230.26)</f>
        <v>53230.26</v>
      </c>
      <c r="N195" s="30">
        <f>-N(0)</f>
        <v>0</v>
      </c>
      <c r="O195" s="30">
        <f t="shared" si="54"/>
        <v>53230.26</v>
      </c>
      <c r="P195" s="30"/>
      <c r="Q195" s="30">
        <f t="shared" si="55"/>
        <v>0</v>
      </c>
      <c r="R195" s="32">
        <f>-N(-10539.76)</f>
        <v>10539.76</v>
      </c>
      <c r="S195" s="33">
        <f t="shared" si="56"/>
        <v>42690.5</v>
      </c>
      <c r="T195" s="34"/>
      <c r="U195" s="34">
        <f t="shared" si="57"/>
        <v>405.04242980864836</v>
      </c>
    </row>
    <row r="196" spans="1:21" hidden="1" outlineLevel="2">
      <c r="A196" s="22"/>
      <c r="B196" s="28">
        <v>8071</v>
      </c>
      <c r="C196" s="29" t="s">
        <v>212</v>
      </c>
      <c r="D196" s="5">
        <f>-N(-279733)</f>
        <v>279733</v>
      </c>
      <c r="E196" s="30">
        <f>-N(0)</f>
        <v>0</v>
      </c>
      <c r="F196" s="30">
        <f t="shared" si="50"/>
        <v>279733</v>
      </c>
      <c r="G196" s="30"/>
      <c r="H196" s="31">
        <f t="shared" si="51"/>
        <v>0</v>
      </c>
      <c r="I196" s="32">
        <f>-N(-291560.05)</f>
        <v>291560.05</v>
      </c>
      <c r="J196" s="30">
        <f t="shared" si="52"/>
        <v>-11827.049999999988</v>
      </c>
      <c r="K196" s="30"/>
      <c r="L196" s="30">
        <f t="shared" si="53"/>
        <v>-4.0564713855687664</v>
      </c>
      <c r="M196" s="5">
        <f>-N(-279733)</f>
        <v>279733</v>
      </c>
      <c r="N196" s="30">
        <f>-N(0)</f>
        <v>0</v>
      </c>
      <c r="O196" s="30">
        <f t="shared" si="54"/>
        <v>279733</v>
      </c>
      <c r="P196" s="30"/>
      <c r="Q196" s="30">
        <f t="shared" si="55"/>
        <v>0</v>
      </c>
      <c r="R196" s="32">
        <f>-N(-291560.05)</f>
        <v>291560.05</v>
      </c>
      <c r="S196" s="33">
        <f t="shared" si="56"/>
        <v>-11827.049999999988</v>
      </c>
      <c r="T196" s="34"/>
      <c r="U196" s="34">
        <f t="shared" si="57"/>
        <v>-4.0564713855687664</v>
      </c>
    </row>
    <row r="197" spans="1:21" hidden="1" outlineLevel="2">
      <c r="A197" s="22"/>
      <c r="B197" s="28">
        <v>8910</v>
      </c>
      <c r="C197" s="29" t="s">
        <v>215</v>
      </c>
      <c r="D197" s="5">
        <f>-N(0)</f>
        <v>0</v>
      </c>
      <c r="E197" s="30">
        <f>-N(-170000)</f>
        <v>170000</v>
      </c>
      <c r="F197" s="30">
        <f t="shared" si="50"/>
        <v>-170000</v>
      </c>
      <c r="G197" s="30"/>
      <c r="H197" s="31">
        <f t="shared" si="51"/>
        <v>-100</v>
      </c>
      <c r="I197" s="32">
        <f>-N(0)</f>
        <v>0</v>
      </c>
      <c r="J197" s="30">
        <f t="shared" si="52"/>
        <v>0</v>
      </c>
      <c r="K197" s="30"/>
      <c r="L197" s="30">
        <f t="shared" si="53"/>
        <v>0</v>
      </c>
      <c r="M197" s="5">
        <f>-N(0)</f>
        <v>0</v>
      </c>
      <c r="N197" s="30">
        <f>-N(-170000)</f>
        <v>170000</v>
      </c>
      <c r="O197" s="30">
        <f t="shared" si="54"/>
        <v>-170000</v>
      </c>
      <c r="P197" s="30"/>
      <c r="Q197" s="30">
        <f t="shared" si="55"/>
        <v>-100</v>
      </c>
      <c r="R197" s="32">
        <f>-N(0)</f>
        <v>0</v>
      </c>
      <c r="S197" s="33">
        <f t="shared" si="56"/>
        <v>0</v>
      </c>
      <c r="T197" s="34"/>
      <c r="U197" s="34">
        <f t="shared" si="57"/>
        <v>0</v>
      </c>
    </row>
    <row r="198" spans="1:21" hidden="1" outlineLevel="1">
      <c r="A198" s="22"/>
      <c r="B198" s="35" t="str">
        <f>"    "&amp;"Finansinntekt"</f>
        <v xml:space="preserve">    Finansinntekt</v>
      </c>
      <c r="C198" s="36"/>
      <c r="D198" s="37">
        <f>SUM(D194:D197)</f>
        <v>1803437.47</v>
      </c>
      <c r="E198" s="33">
        <f>SUM(E194:E197)</f>
        <v>170000</v>
      </c>
      <c r="F198" s="33">
        <f t="shared" si="50"/>
        <v>1633437.47</v>
      </c>
      <c r="G198" s="33"/>
      <c r="H198" s="38">
        <f t="shared" si="51"/>
        <v>960.84557058823532</v>
      </c>
      <c r="I198" s="39">
        <f>SUM(I194:I197)</f>
        <v>1158142.46</v>
      </c>
      <c r="J198" s="33">
        <f t="shared" si="52"/>
        <v>645295.01</v>
      </c>
      <c r="K198" s="33"/>
      <c r="L198" s="33">
        <f t="shared" si="53"/>
        <v>55.718103107971707</v>
      </c>
      <c r="M198" s="37">
        <f>SUM(M194:M197)</f>
        <v>1803437.47</v>
      </c>
      <c r="N198" s="33">
        <f>SUM(N194:N197)</f>
        <v>170000</v>
      </c>
      <c r="O198" s="33">
        <f t="shared" si="54"/>
        <v>1633437.47</v>
      </c>
      <c r="P198" s="33"/>
      <c r="Q198" s="33">
        <f t="shared" si="55"/>
        <v>960.84557058823532</v>
      </c>
      <c r="R198" s="39">
        <f>SUM(R194:R197)</f>
        <v>1158142.46</v>
      </c>
      <c r="S198" s="33">
        <f t="shared" si="56"/>
        <v>645295.01</v>
      </c>
      <c r="T198" s="34"/>
      <c r="U198" s="34">
        <f t="shared" si="57"/>
        <v>55.718103107971707</v>
      </c>
    </row>
    <row r="199" spans="1:21" collapsed="1">
      <c r="A199" s="22"/>
      <c r="B199" s="41" t="s">
        <v>216</v>
      </c>
      <c r="C199" s="42"/>
      <c r="D199" s="43">
        <f>SUM(D198)</f>
        <v>1803437.47</v>
      </c>
      <c r="E199" s="44">
        <f>SUM(E198)</f>
        <v>170000</v>
      </c>
      <c r="F199" s="44">
        <f t="shared" si="50"/>
        <v>1633437.47</v>
      </c>
      <c r="G199" s="44"/>
      <c r="H199" s="45">
        <f t="shared" si="51"/>
        <v>960.84557058823532</v>
      </c>
      <c r="I199" s="46">
        <f>SUM(I198)</f>
        <v>1158142.46</v>
      </c>
      <c r="J199" s="44">
        <f t="shared" si="52"/>
        <v>645295.01</v>
      </c>
      <c r="K199" s="44"/>
      <c r="L199" s="44">
        <f t="shared" si="53"/>
        <v>55.718103107971707</v>
      </c>
      <c r="M199" s="43">
        <f>SUM(M198)</f>
        <v>1803437.47</v>
      </c>
      <c r="N199" s="44">
        <f>SUM(N198)</f>
        <v>170000</v>
      </c>
      <c r="O199" s="44">
        <f t="shared" si="54"/>
        <v>1633437.47</v>
      </c>
      <c r="P199" s="44"/>
      <c r="Q199" s="44">
        <f t="shared" si="55"/>
        <v>960.84557058823532</v>
      </c>
      <c r="R199" s="46">
        <f>SUM(R198)</f>
        <v>1158142.46</v>
      </c>
      <c r="S199" s="44">
        <f t="shared" si="56"/>
        <v>645295.01</v>
      </c>
      <c r="T199" s="47"/>
      <c r="U199" s="47">
        <f t="shared" si="57"/>
        <v>55.718103107971707</v>
      </c>
    </row>
    <row r="200" spans="1:21" hidden="1" outlineLevel="2">
      <c r="A200" s="22"/>
      <c r="B200" s="28">
        <v>8100</v>
      </c>
      <c r="C200" s="29" t="s">
        <v>218</v>
      </c>
      <c r="D200" s="5">
        <f>N(2110091.84)</f>
        <v>2110091.84</v>
      </c>
      <c r="E200" s="30">
        <f>N(0)</f>
        <v>0</v>
      </c>
      <c r="F200" s="30">
        <f t="shared" ref="F200:F206" si="58">-D200+E200</f>
        <v>-2110091.84</v>
      </c>
      <c r="G200" s="30"/>
      <c r="H200" s="31">
        <f t="shared" si="51"/>
        <v>0</v>
      </c>
      <c r="I200" s="32">
        <f>N(739071.13)</f>
        <v>739071.13</v>
      </c>
      <c r="J200" s="30">
        <f t="shared" ref="J200:J206" si="59">-D200+I200</f>
        <v>-1371020.71</v>
      </c>
      <c r="K200" s="30"/>
      <c r="L200" s="30">
        <f t="shared" si="53"/>
        <v>-185.50592146658468</v>
      </c>
      <c r="M200" s="5">
        <f>N(2110091.84)</f>
        <v>2110091.84</v>
      </c>
      <c r="N200" s="30">
        <f>N(0)</f>
        <v>0</v>
      </c>
      <c r="O200" s="30">
        <f t="shared" ref="O200:O206" si="60">-M200+N200</f>
        <v>-2110091.84</v>
      </c>
      <c r="P200" s="30"/>
      <c r="Q200" s="30">
        <f t="shared" si="55"/>
        <v>0</v>
      </c>
      <c r="R200" s="32">
        <f>N(739071.13)</f>
        <v>739071.13</v>
      </c>
      <c r="S200" s="30">
        <f t="shared" ref="S200:S206" si="61">-M200+R200</f>
        <v>-1371020.71</v>
      </c>
      <c r="T200" s="75"/>
      <c r="U200" s="75">
        <f t="shared" si="57"/>
        <v>-185.50592146658468</v>
      </c>
    </row>
    <row r="201" spans="1:21" hidden="1" outlineLevel="2">
      <c r="A201" s="22"/>
      <c r="B201" s="28">
        <v>8130</v>
      </c>
      <c r="C201" s="29" t="s">
        <v>220</v>
      </c>
      <c r="D201" s="5">
        <f>N(0)</f>
        <v>0</v>
      </c>
      <c r="E201" s="30">
        <f>N(0)</f>
        <v>0</v>
      </c>
      <c r="F201" s="30">
        <f t="shared" si="58"/>
        <v>0</v>
      </c>
      <c r="G201" s="30"/>
      <c r="H201" s="31">
        <f t="shared" si="51"/>
        <v>0</v>
      </c>
      <c r="I201" s="32">
        <f>N(0)</f>
        <v>0</v>
      </c>
      <c r="J201" s="30">
        <f t="shared" si="59"/>
        <v>0</v>
      </c>
      <c r="K201" s="30"/>
      <c r="L201" s="30">
        <f t="shared" si="53"/>
        <v>0</v>
      </c>
      <c r="M201" s="5">
        <f>N(0)</f>
        <v>0</v>
      </c>
      <c r="N201" s="30">
        <f>N(0)</f>
        <v>0</v>
      </c>
      <c r="O201" s="30">
        <f t="shared" si="60"/>
        <v>0</v>
      </c>
      <c r="P201" s="30"/>
      <c r="Q201" s="30">
        <f t="shared" si="55"/>
        <v>0</v>
      </c>
      <c r="R201" s="32">
        <f>N(0)</f>
        <v>0</v>
      </c>
      <c r="S201" s="30">
        <f t="shared" si="61"/>
        <v>0</v>
      </c>
      <c r="T201" s="75"/>
      <c r="U201" s="75">
        <f t="shared" si="57"/>
        <v>0</v>
      </c>
    </row>
    <row r="202" spans="1:21" hidden="1" outlineLevel="2">
      <c r="A202" s="22"/>
      <c r="B202" s="28">
        <v>8150</v>
      </c>
      <c r="C202" s="29" t="s">
        <v>221</v>
      </c>
      <c r="D202" s="5">
        <f>N(655.57)</f>
        <v>655.57</v>
      </c>
      <c r="E202" s="30">
        <f>N(0)</f>
        <v>0</v>
      </c>
      <c r="F202" s="30">
        <f t="shared" si="58"/>
        <v>-655.57</v>
      </c>
      <c r="G202" s="30"/>
      <c r="H202" s="31">
        <f t="shared" si="51"/>
        <v>0</v>
      </c>
      <c r="I202" s="32">
        <f>N(3279)</f>
        <v>3279</v>
      </c>
      <c r="J202" s="30">
        <f t="shared" si="59"/>
        <v>2623.43</v>
      </c>
      <c r="K202" s="30"/>
      <c r="L202" s="30">
        <f t="shared" si="53"/>
        <v>80.00701433363831</v>
      </c>
      <c r="M202" s="5">
        <f>N(655.57)</f>
        <v>655.57</v>
      </c>
      <c r="N202" s="30">
        <f>N(0)</f>
        <v>0</v>
      </c>
      <c r="O202" s="30">
        <f t="shared" si="60"/>
        <v>-655.57</v>
      </c>
      <c r="P202" s="30"/>
      <c r="Q202" s="30">
        <f t="shared" si="55"/>
        <v>0</v>
      </c>
      <c r="R202" s="32">
        <f>N(3279)</f>
        <v>3279</v>
      </c>
      <c r="S202" s="30">
        <f t="shared" si="61"/>
        <v>2623.43</v>
      </c>
      <c r="T202" s="75"/>
      <c r="U202" s="75">
        <f t="shared" si="57"/>
        <v>80.00701433363831</v>
      </c>
    </row>
    <row r="203" spans="1:21" hidden="1" outlineLevel="2">
      <c r="A203" s="22"/>
      <c r="B203" s="28">
        <v>8155</v>
      </c>
      <c r="C203" s="29" t="s">
        <v>222</v>
      </c>
      <c r="D203" s="5">
        <f>N(34.13)</f>
        <v>34.130000000000003</v>
      </c>
      <c r="E203" s="30">
        <f>N(0)</f>
        <v>0</v>
      </c>
      <c r="F203" s="30">
        <f t="shared" si="58"/>
        <v>-34.130000000000003</v>
      </c>
      <c r="G203" s="30"/>
      <c r="H203" s="31">
        <f t="shared" si="51"/>
        <v>0</v>
      </c>
      <c r="I203" s="32">
        <f>N(475.64)</f>
        <v>475.64</v>
      </c>
      <c r="J203" s="30">
        <f t="shared" si="59"/>
        <v>441.51</v>
      </c>
      <c r="K203" s="30"/>
      <c r="L203" s="30">
        <f t="shared" si="53"/>
        <v>92.824405012194106</v>
      </c>
      <c r="M203" s="5">
        <f>N(34.13)</f>
        <v>34.130000000000003</v>
      </c>
      <c r="N203" s="30">
        <f>N(0)</f>
        <v>0</v>
      </c>
      <c r="O203" s="30">
        <f t="shared" si="60"/>
        <v>-34.130000000000003</v>
      </c>
      <c r="P203" s="30"/>
      <c r="Q203" s="30">
        <f t="shared" si="55"/>
        <v>0</v>
      </c>
      <c r="R203" s="32">
        <f>N(475.64)</f>
        <v>475.64</v>
      </c>
      <c r="S203" s="30">
        <f t="shared" si="61"/>
        <v>441.51</v>
      </c>
      <c r="T203" s="75"/>
      <c r="U203" s="75">
        <f t="shared" si="57"/>
        <v>92.824405012194106</v>
      </c>
    </row>
    <row r="204" spans="1:21" hidden="1" outlineLevel="2">
      <c r="A204" s="22"/>
      <c r="B204" s="28">
        <v>8160</v>
      </c>
      <c r="C204" s="29" t="s">
        <v>223</v>
      </c>
      <c r="D204" s="5">
        <f>N(29565.82)</f>
        <v>29565.82</v>
      </c>
      <c r="E204" s="30">
        <f>N(0)</f>
        <v>0</v>
      </c>
      <c r="F204" s="30">
        <f t="shared" si="58"/>
        <v>-29565.82</v>
      </c>
      <c r="G204" s="30"/>
      <c r="H204" s="31">
        <f t="shared" si="51"/>
        <v>0</v>
      </c>
      <c r="I204" s="32">
        <f>N(8885.24)</f>
        <v>8885.24</v>
      </c>
      <c r="J204" s="30">
        <f t="shared" si="59"/>
        <v>-20680.580000000002</v>
      </c>
      <c r="K204" s="30"/>
      <c r="L204" s="30">
        <f t="shared" si="53"/>
        <v>-232.75206972462198</v>
      </c>
      <c r="M204" s="5">
        <f>N(29565.82)</f>
        <v>29565.82</v>
      </c>
      <c r="N204" s="30">
        <f>N(0)</f>
        <v>0</v>
      </c>
      <c r="O204" s="30">
        <f t="shared" si="60"/>
        <v>-29565.82</v>
      </c>
      <c r="P204" s="30"/>
      <c r="Q204" s="30">
        <f t="shared" si="55"/>
        <v>0</v>
      </c>
      <c r="R204" s="32">
        <f>N(8885.24)</f>
        <v>8885.24</v>
      </c>
      <c r="S204" s="30">
        <f t="shared" si="61"/>
        <v>-20680.580000000002</v>
      </c>
      <c r="T204" s="75"/>
      <c r="U204" s="75">
        <f t="shared" si="57"/>
        <v>-232.75206972462198</v>
      </c>
    </row>
    <row r="205" spans="1:21" hidden="1" outlineLevel="1">
      <c r="A205" s="22"/>
      <c r="B205" s="35" t="str">
        <f>"    "&amp;"Finanskostnad"</f>
        <v xml:space="preserve">    Finanskostnad</v>
      </c>
      <c r="C205" s="36"/>
      <c r="D205" s="37">
        <f>SUM(D200:D204)</f>
        <v>2140347.3599999994</v>
      </c>
      <c r="E205" s="33">
        <f>SUM(E200:E204)</f>
        <v>0</v>
      </c>
      <c r="F205" s="33">
        <f t="shared" si="58"/>
        <v>-2140347.3599999994</v>
      </c>
      <c r="G205" s="33"/>
      <c r="H205" s="38">
        <f t="shared" si="51"/>
        <v>0</v>
      </c>
      <c r="I205" s="39">
        <f>SUM(I200:I204)</f>
        <v>751711.01</v>
      </c>
      <c r="J205" s="33">
        <f t="shared" si="59"/>
        <v>-1388636.3499999994</v>
      </c>
      <c r="K205" s="33"/>
      <c r="L205" s="33">
        <f t="shared" si="53"/>
        <v>-184.73007998113522</v>
      </c>
      <c r="M205" s="37">
        <f>SUM(M200:M204)</f>
        <v>2140347.3599999994</v>
      </c>
      <c r="N205" s="33">
        <f>SUM(N200:N204)</f>
        <v>0</v>
      </c>
      <c r="O205" s="33">
        <f t="shared" si="60"/>
        <v>-2140347.3599999994</v>
      </c>
      <c r="P205" s="33"/>
      <c r="Q205" s="33">
        <f t="shared" si="55"/>
        <v>0</v>
      </c>
      <c r="R205" s="39">
        <f>SUM(R200:R204)</f>
        <v>751711.01</v>
      </c>
      <c r="S205" s="33">
        <f t="shared" si="61"/>
        <v>-1388636.3499999994</v>
      </c>
      <c r="T205" s="34"/>
      <c r="U205" s="34">
        <f t="shared" si="57"/>
        <v>-184.73007998113522</v>
      </c>
    </row>
    <row r="206" spans="1:21" collapsed="1">
      <c r="A206" s="22"/>
      <c r="B206" s="41" t="s">
        <v>225</v>
      </c>
      <c r="C206" s="42"/>
      <c r="D206" s="43">
        <f>SUM(D205)</f>
        <v>2140347.3599999994</v>
      </c>
      <c r="E206" s="44">
        <f>SUM(E205)</f>
        <v>0</v>
      </c>
      <c r="F206" s="44">
        <f t="shared" si="58"/>
        <v>-2140347.3599999994</v>
      </c>
      <c r="G206" s="44"/>
      <c r="H206" s="45">
        <f t="shared" si="51"/>
        <v>0</v>
      </c>
      <c r="I206" s="46">
        <f>SUM(I205)</f>
        <v>751711.01</v>
      </c>
      <c r="J206" s="44">
        <f t="shared" si="59"/>
        <v>-1388636.3499999994</v>
      </c>
      <c r="K206" s="44"/>
      <c r="L206" s="44">
        <f t="shared" si="53"/>
        <v>-184.73007998113522</v>
      </c>
      <c r="M206" s="43">
        <f>SUM(M205)</f>
        <v>2140347.3599999994</v>
      </c>
      <c r="N206" s="44">
        <f>SUM(N205)</f>
        <v>0</v>
      </c>
      <c r="O206" s="44">
        <f t="shared" si="60"/>
        <v>-2140347.3599999994</v>
      </c>
      <c r="P206" s="44"/>
      <c r="Q206" s="44">
        <f t="shared" si="55"/>
        <v>0</v>
      </c>
      <c r="R206" s="46">
        <f>SUM(R205)</f>
        <v>751711.01</v>
      </c>
      <c r="S206" s="44">
        <f t="shared" si="61"/>
        <v>-1388636.3499999994</v>
      </c>
      <c r="T206" s="47"/>
      <c r="U206" s="47">
        <f t="shared" si="57"/>
        <v>-184.73007998113522</v>
      </c>
    </row>
    <row r="207" spans="1:21">
      <c r="A207" s="22"/>
      <c r="B207" s="48" t="s">
        <v>226</v>
      </c>
      <c r="C207" s="49"/>
      <c r="D207" s="50">
        <f>SUM(D199)-SUM(D206)</f>
        <v>-336909.88999999943</v>
      </c>
      <c r="E207" s="51">
        <f>SUM(E199)-SUM(E206)</f>
        <v>170000</v>
      </c>
      <c r="F207" s="51">
        <f>D207-E207</f>
        <v>-506909.88999999943</v>
      </c>
      <c r="G207" s="51"/>
      <c r="H207" s="52">
        <f t="shared" si="51"/>
        <v>-298.18228823529375</v>
      </c>
      <c r="I207" s="53">
        <f>SUM(I199)-SUM(I206)</f>
        <v>406431.44999999995</v>
      </c>
      <c r="J207" s="51">
        <f>D207-I207</f>
        <v>-743341.33999999939</v>
      </c>
      <c r="K207" s="51"/>
      <c r="L207" s="51">
        <f t="shared" si="53"/>
        <v>-182.8946406583446</v>
      </c>
      <c r="M207" s="50">
        <f>SUM(M199)-SUM(M206)</f>
        <v>-336909.88999999943</v>
      </c>
      <c r="N207" s="51">
        <f>SUM(N199)-SUM(N206)</f>
        <v>170000</v>
      </c>
      <c r="O207" s="51">
        <f>M207-N207</f>
        <v>-506909.88999999943</v>
      </c>
      <c r="P207" s="51"/>
      <c r="Q207" s="51">
        <f t="shared" si="55"/>
        <v>-298.18228823529375</v>
      </c>
      <c r="R207" s="53">
        <f>SUM(R199)-SUM(R206)</f>
        <v>406431.44999999995</v>
      </c>
      <c r="S207" s="51">
        <f>M207-R207</f>
        <v>-743341.33999999939</v>
      </c>
      <c r="T207" s="54"/>
      <c r="U207" s="54">
        <f t="shared" si="57"/>
        <v>-182.8946406583446</v>
      </c>
    </row>
    <row r="208" spans="1:21">
      <c r="A208" s="22"/>
      <c r="B208" s="27"/>
      <c r="C208" s="24"/>
      <c r="D208" s="58"/>
      <c r="E208" s="76"/>
      <c r="F208" s="59"/>
      <c r="G208" s="59"/>
      <c r="H208" s="60"/>
      <c r="I208" s="61"/>
      <c r="J208" s="59"/>
      <c r="K208" s="59"/>
      <c r="L208" s="59"/>
      <c r="M208" s="58"/>
      <c r="N208" s="76"/>
      <c r="O208" s="59"/>
      <c r="P208" s="59"/>
      <c r="Q208" s="59"/>
      <c r="R208" s="61"/>
      <c r="S208" s="59"/>
      <c r="T208" s="63"/>
      <c r="U208" s="63"/>
    </row>
    <row r="209" spans="1:22" ht="15.6">
      <c r="B209" s="77" t="s">
        <v>227</v>
      </c>
      <c r="C209" s="78"/>
      <c r="D209" s="79">
        <f ca="1">IFERROR(SUM(D192)+SUM(D207),0)</f>
        <v>-327309.74999998393</v>
      </c>
      <c r="E209" s="80">
        <f ca="1">IFERROR(SUM(E192)+SUM(E207),0)</f>
        <v>-649999.93225499988</v>
      </c>
      <c r="F209" s="80">
        <f ca="1">D209-E209</f>
        <v>322690.18225501594</v>
      </c>
      <c r="G209" s="80"/>
      <c r="H209" s="81">
        <f ca="1">IF(E209=0,0,F209*100/E209)</f>
        <v>-49.644648597966643</v>
      </c>
      <c r="I209" s="82">
        <f ca="1">IFERROR(SUM(I192)+SUM(I207),0)</f>
        <v>3341778.5999999987</v>
      </c>
      <c r="J209" s="80">
        <f ca="1">D209-I209</f>
        <v>-3669088.3499999829</v>
      </c>
      <c r="K209" s="80"/>
      <c r="L209" s="80">
        <f ca="1">IF(I209=0,0,J209*100/I209)</f>
        <v>-109.79447740792834</v>
      </c>
      <c r="M209" s="79">
        <f ca="1">IFERROR(SUM(M192)+SUM(M207),0)</f>
        <v>-327309.74999998393</v>
      </c>
      <c r="N209" s="80">
        <f ca="1">IFERROR(SUM(N192)+SUM(N207),0)</f>
        <v>-649999.93225499988</v>
      </c>
      <c r="O209" s="80">
        <f ca="1">M209-N209</f>
        <v>322690.18225501594</v>
      </c>
      <c r="P209" s="80"/>
      <c r="Q209" s="80">
        <f ca="1">IF(N209=0,0,O209*100/N209)</f>
        <v>-49.644648597966643</v>
      </c>
      <c r="R209" s="82">
        <f ca="1">IFERROR(SUM(R192)+SUM(R207),0)</f>
        <v>3341778.5999999987</v>
      </c>
      <c r="S209" s="80">
        <f ca="1">M209-R209</f>
        <v>-3669088.3499999829</v>
      </c>
      <c r="T209" s="83"/>
      <c r="U209" s="84">
        <f ca="1">IF(R209=0,0,S209*100/R209)</f>
        <v>-109.79447740792834</v>
      </c>
    </row>
    <row r="210" spans="1:22" ht="15.6">
      <c r="B210" s="85"/>
      <c r="C210" s="86"/>
      <c r="D210" s="87"/>
      <c r="E210" s="87"/>
      <c r="F210" s="87"/>
      <c r="G210" s="87"/>
      <c r="H210" s="88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</row>
    <row r="211" spans="1:22" hidden="1" outlineLevel="2">
      <c r="A211" s="22"/>
      <c r="B211" s="28">
        <v>8914</v>
      </c>
      <c r="C211" s="29" t="s">
        <v>228</v>
      </c>
      <c r="D211" s="30">
        <f>N(-1288199.67)</f>
        <v>-1288199.67</v>
      </c>
      <c r="E211" s="30">
        <f>N(0)</f>
        <v>0</v>
      </c>
      <c r="F211" s="30">
        <f t="shared" ref="F211:F216" si="62">-D211+E211</f>
        <v>1288199.67</v>
      </c>
      <c r="G211" s="30"/>
      <c r="H211" s="31">
        <f t="shared" ref="H211:H216" si="63">IF(E211=0,0,F211*100/E211)</f>
        <v>0</v>
      </c>
      <c r="I211" s="32">
        <f>N(1667557.96)</f>
        <v>1667557.96</v>
      </c>
      <c r="J211" s="30">
        <f t="shared" ref="J211:J216" si="64">-D211+I211</f>
        <v>2955757.63</v>
      </c>
      <c r="K211" s="30"/>
      <c r="L211" s="30">
        <f t="shared" ref="L211:L216" si="65">IF(I211=0,0,J211*100/I211)</f>
        <v>177.25066839655756</v>
      </c>
      <c r="M211" s="30">
        <f>N(-1288199.67)</f>
        <v>-1288199.67</v>
      </c>
      <c r="N211" s="30">
        <f>N(0)</f>
        <v>0</v>
      </c>
      <c r="O211" s="30">
        <f t="shared" ref="O211:O216" si="66">-M211+N211</f>
        <v>1288199.67</v>
      </c>
      <c r="P211" s="30"/>
      <c r="Q211" s="30">
        <f t="shared" ref="Q211:Q216" si="67">IF(N211=0,0,O211*100/N211)</f>
        <v>0</v>
      </c>
      <c r="R211" s="32">
        <f>N(1667557.96)</f>
        <v>1667557.96</v>
      </c>
      <c r="S211" s="30">
        <f t="shared" ref="S211:S216" si="68">-M211+R211</f>
        <v>2955757.63</v>
      </c>
      <c r="T211" s="30"/>
      <c r="U211" s="75">
        <f t="shared" ref="U211:U216" si="69">IF(R211=0,0,S211*100/R211)</f>
        <v>177.25066839655756</v>
      </c>
      <c r="V211" s="27"/>
    </row>
    <row r="212" spans="1:22" hidden="1" outlineLevel="2">
      <c r="A212" s="22"/>
      <c r="B212" s="28">
        <v>8920</v>
      </c>
      <c r="C212" s="29" t="s">
        <v>229</v>
      </c>
      <c r="D212" s="30">
        <f>N(-245907.64)</f>
        <v>-245907.64</v>
      </c>
      <c r="E212" s="30">
        <f>N(0)</f>
        <v>0</v>
      </c>
      <c r="F212" s="30">
        <f t="shared" si="62"/>
        <v>245907.64</v>
      </c>
      <c r="G212" s="30"/>
      <c r="H212" s="31">
        <f t="shared" si="63"/>
        <v>0</v>
      </c>
      <c r="I212" s="32">
        <f>N(0)</f>
        <v>0</v>
      </c>
      <c r="J212" s="30">
        <f t="shared" si="64"/>
        <v>245907.64</v>
      </c>
      <c r="K212" s="30"/>
      <c r="L212" s="30">
        <f t="shared" si="65"/>
        <v>0</v>
      </c>
      <c r="M212" s="30">
        <f>N(-245907.64)</f>
        <v>-245907.64</v>
      </c>
      <c r="N212" s="30">
        <f>N(0)</f>
        <v>0</v>
      </c>
      <c r="O212" s="30">
        <f t="shared" si="66"/>
        <v>245907.64</v>
      </c>
      <c r="P212" s="30"/>
      <c r="Q212" s="30">
        <f t="shared" si="67"/>
        <v>0</v>
      </c>
      <c r="R212" s="32">
        <f>N(0)</f>
        <v>0</v>
      </c>
      <c r="S212" s="30">
        <f t="shared" si="68"/>
        <v>245907.64</v>
      </c>
      <c r="T212" s="30"/>
      <c r="U212" s="75">
        <f t="shared" si="69"/>
        <v>0</v>
      </c>
      <c r="V212" s="27"/>
    </row>
    <row r="213" spans="1:22" hidden="1" outlineLevel="2">
      <c r="A213" s="22"/>
      <c r="B213" s="28">
        <v>8930</v>
      </c>
      <c r="C213" s="29" t="s">
        <v>230</v>
      </c>
      <c r="D213" s="30">
        <f>N(-35554.41)</f>
        <v>-35554.410000000003</v>
      </c>
      <c r="E213" s="30">
        <f>N(0)</f>
        <v>0</v>
      </c>
      <c r="F213" s="30">
        <f t="shared" si="62"/>
        <v>35554.410000000003</v>
      </c>
      <c r="G213" s="30"/>
      <c r="H213" s="31">
        <f t="shared" si="63"/>
        <v>0</v>
      </c>
      <c r="I213" s="32">
        <f>N(0)</f>
        <v>0</v>
      </c>
      <c r="J213" s="30">
        <f t="shared" si="64"/>
        <v>35554.410000000003</v>
      </c>
      <c r="K213" s="30"/>
      <c r="L213" s="30">
        <f t="shared" si="65"/>
        <v>0</v>
      </c>
      <c r="M213" s="30">
        <f>N(-35554.41)</f>
        <v>-35554.410000000003</v>
      </c>
      <c r="N213" s="30">
        <f>N(0)</f>
        <v>0</v>
      </c>
      <c r="O213" s="30">
        <f t="shared" si="66"/>
        <v>35554.410000000003</v>
      </c>
      <c r="P213" s="30"/>
      <c r="Q213" s="30">
        <f t="shared" si="67"/>
        <v>0</v>
      </c>
      <c r="R213" s="32">
        <f>N(0)</f>
        <v>0</v>
      </c>
      <c r="S213" s="30">
        <f t="shared" si="68"/>
        <v>35554.410000000003</v>
      </c>
      <c r="T213" s="30"/>
      <c r="U213" s="75">
        <f t="shared" si="69"/>
        <v>0</v>
      </c>
      <c r="V213" s="27"/>
    </row>
    <row r="214" spans="1:22" hidden="1" outlineLevel="2">
      <c r="A214" s="22"/>
      <c r="B214" s="28">
        <v>8960</v>
      </c>
      <c r="C214" s="29" t="s">
        <v>232</v>
      </c>
      <c r="D214" s="30">
        <f>N(1242351.97)</f>
        <v>1242351.97</v>
      </c>
      <c r="E214" s="30">
        <f>N(0)</f>
        <v>0</v>
      </c>
      <c r="F214" s="30">
        <f t="shared" si="62"/>
        <v>-1242351.97</v>
      </c>
      <c r="G214" s="30"/>
      <c r="H214" s="31">
        <f t="shared" si="63"/>
        <v>0</v>
      </c>
      <c r="I214" s="32">
        <f>N(1674220.63)</f>
        <v>1674220.63</v>
      </c>
      <c r="J214" s="30">
        <f t="shared" si="64"/>
        <v>431868.65999999992</v>
      </c>
      <c r="K214" s="30"/>
      <c r="L214" s="30">
        <f t="shared" si="65"/>
        <v>25.795205975929228</v>
      </c>
      <c r="M214" s="30">
        <f>N(1242351.97)</f>
        <v>1242351.97</v>
      </c>
      <c r="N214" s="30">
        <f>N(0)</f>
        <v>0</v>
      </c>
      <c r="O214" s="30">
        <f t="shared" si="66"/>
        <v>-1242351.97</v>
      </c>
      <c r="P214" s="30"/>
      <c r="Q214" s="30">
        <f t="shared" si="67"/>
        <v>0</v>
      </c>
      <c r="R214" s="32">
        <f>N(1674220.63)</f>
        <v>1674220.63</v>
      </c>
      <c r="S214" s="30">
        <f t="shared" si="68"/>
        <v>431868.65999999992</v>
      </c>
      <c r="T214" s="30"/>
      <c r="U214" s="75">
        <f t="shared" si="69"/>
        <v>25.795205975929228</v>
      </c>
      <c r="V214" s="27"/>
    </row>
    <row r="215" spans="1:22" hidden="1" outlineLevel="1">
      <c r="A215" s="22"/>
      <c r="B215" s="35" t="str">
        <f>"    "&amp;"Overføringer og disponeringer"</f>
        <v xml:space="preserve">    Overføringer og disponeringer</v>
      </c>
      <c r="C215" s="36"/>
      <c r="D215" s="37">
        <f>SUM(D211:D214)</f>
        <v>-327309.75</v>
      </c>
      <c r="E215" s="33">
        <f>SUM(E211:E214)</f>
        <v>0</v>
      </c>
      <c r="F215" s="33">
        <f t="shared" si="62"/>
        <v>327309.75</v>
      </c>
      <c r="G215" s="33"/>
      <c r="H215" s="38">
        <f t="shared" si="63"/>
        <v>0</v>
      </c>
      <c r="I215" s="39">
        <f>SUM(I211:I214)</f>
        <v>3341778.59</v>
      </c>
      <c r="J215" s="33">
        <f t="shared" si="64"/>
        <v>3669088.34</v>
      </c>
      <c r="K215" s="33"/>
      <c r="L215" s="33">
        <f t="shared" si="65"/>
        <v>109.794477437238</v>
      </c>
      <c r="M215" s="37">
        <f>SUM(M211:M214)</f>
        <v>-327309.75</v>
      </c>
      <c r="N215" s="33">
        <f>SUM(N211:N214)</f>
        <v>0</v>
      </c>
      <c r="O215" s="33">
        <f t="shared" si="66"/>
        <v>327309.75</v>
      </c>
      <c r="P215" s="33"/>
      <c r="Q215" s="33">
        <f t="shared" si="67"/>
        <v>0</v>
      </c>
      <c r="R215" s="39">
        <f>SUM(R211:R214)</f>
        <v>3341778.59</v>
      </c>
      <c r="S215" s="33">
        <f t="shared" si="68"/>
        <v>3669088.34</v>
      </c>
      <c r="T215" s="33"/>
      <c r="U215" s="34">
        <f t="shared" si="69"/>
        <v>109.794477437238</v>
      </c>
      <c r="V215" s="27"/>
    </row>
    <row r="216" spans="1:22" collapsed="1">
      <c r="A216" s="22"/>
      <c r="B216" s="89" t="s">
        <v>233</v>
      </c>
      <c r="C216" s="90"/>
      <c r="D216" s="91">
        <f>SUM(D215)</f>
        <v>-327309.75</v>
      </c>
      <c r="E216" s="92">
        <f>SUM(E215)</f>
        <v>0</v>
      </c>
      <c r="F216" s="92">
        <f t="shared" si="62"/>
        <v>327309.75</v>
      </c>
      <c r="G216" s="92"/>
      <c r="H216" s="93">
        <f t="shared" si="63"/>
        <v>0</v>
      </c>
      <c r="I216" s="94">
        <f>SUM(I215)</f>
        <v>3341778.59</v>
      </c>
      <c r="J216" s="92">
        <f t="shared" si="64"/>
        <v>3669088.34</v>
      </c>
      <c r="K216" s="92"/>
      <c r="L216" s="92">
        <f t="shared" si="65"/>
        <v>109.794477437238</v>
      </c>
      <c r="M216" s="91">
        <f>SUM(M215)</f>
        <v>-327309.75</v>
      </c>
      <c r="N216" s="92">
        <f>SUM(N215)</f>
        <v>0</v>
      </c>
      <c r="O216" s="92">
        <f t="shared" si="66"/>
        <v>327309.75</v>
      </c>
      <c r="P216" s="92"/>
      <c r="Q216" s="92">
        <f t="shared" si="67"/>
        <v>0</v>
      </c>
      <c r="R216" s="94">
        <f>SUM(R215)</f>
        <v>3341778.59</v>
      </c>
      <c r="S216" s="92">
        <f t="shared" si="68"/>
        <v>3669088.34</v>
      </c>
      <c r="T216" s="92"/>
      <c r="U216" s="95">
        <f t="shared" si="69"/>
        <v>109.794477437238</v>
      </c>
      <c r="V216" s="27"/>
    </row>
    <row r="217" spans="1:22">
      <c r="R217" s="96"/>
    </row>
    <row r="218" spans="1:22">
      <c r="C218" s="97"/>
      <c r="R218" s="6"/>
    </row>
  </sheetData>
  <mergeCells count="2">
    <mergeCell ref="D9:L9"/>
    <mergeCell ref="M9:U9"/>
  </mergeCells>
  <conditionalFormatting sqref="B5:B7 D5:D7">
    <cfRule type="expression" dxfId="6" priority="1">
      <formula>LEFT(B5,1)="x"</formula>
    </cfRule>
  </conditionalFormatting>
  <conditionalFormatting sqref="C5:C7 E5:E7">
    <cfRule type="expression" dxfId="5" priority="2">
      <formula>LEFT(B5,1)="x"</formula>
    </cfRule>
  </conditionalFormatting>
  <pageMargins left="0.23622047244094491" right="0.23622047244094491" top="0.35433070866141736" bottom="0.35433070866141736" header="0.31496062992125984" footer="0.31496062992125984"/>
  <pageSetup paperSize="9" scale="72" fitToHeight="0" orientation="landscape"/>
  <headerFooter>
    <oddFooter>&amp;C&amp;G&amp;R
Side &amp;P av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26DFB-8813-4B05-9B08-265A72F0B48E}">
  <sheetPr>
    <pageSetUpPr fitToPage="1"/>
  </sheetPr>
  <dimension ref="A1:V223"/>
  <sheetViews>
    <sheetView showGridLines="0" workbookViewId="0">
      <pane ySplit="10" topLeftCell="A11" activePane="bottomLeft" state="frozen"/>
      <selection pane="bottomLeft" activeCell="D25" sqref="D25"/>
    </sheetView>
  </sheetViews>
  <sheetFormatPr defaultColWidth="11.42578125" defaultRowHeight="14.45" outlineLevelRow="2" outlineLevelCol="1"/>
  <cols>
    <col min="1" max="1" width="1.7109375" customWidth="1"/>
    <col min="2" max="2" width="16" customWidth="1"/>
    <col min="3" max="3" width="32.7109375" customWidth="1"/>
    <col min="4" max="5" width="12.7109375" customWidth="1"/>
    <col min="6" max="6" width="12.7109375" hidden="1" customWidth="1" outlineLevel="1"/>
    <col min="7" max="7" width="2.140625" customWidth="1" collapsed="1"/>
    <col min="8" max="8" width="8.85546875" hidden="1" customWidth="1" outlineLevel="1"/>
    <col min="9" max="9" width="12.7109375" customWidth="1" collapsed="1"/>
    <col min="10" max="10" width="12.7109375" hidden="1" customWidth="1" outlineLevel="1"/>
    <col min="11" max="11" width="2.5703125" customWidth="1" collapsed="1"/>
    <col min="12" max="12" width="10" hidden="1" customWidth="1" outlineLevel="1"/>
    <col min="13" max="13" width="12.7109375" customWidth="1" collapsed="1"/>
    <col min="14" max="14" width="12.7109375" customWidth="1"/>
    <col min="15" max="15" width="12.7109375" hidden="1" customWidth="1" outlineLevel="1"/>
    <col min="16" max="16" width="3.42578125" customWidth="1" collapsed="1"/>
    <col min="17" max="17" width="6.7109375" hidden="1" customWidth="1" outlineLevel="1"/>
    <col min="18" max="18" width="12.7109375" customWidth="1" collapsed="1"/>
    <col min="19" max="19" width="12.7109375" hidden="1" customWidth="1" outlineLevel="1"/>
    <col min="20" max="20" width="2.85546875" customWidth="1" collapsed="1"/>
    <col min="21" max="21" width="8.5703125" hidden="1" customWidth="1" outlineLevel="1"/>
    <col min="22" max="22" width="11.42578125" collapsed="1"/>
  </cols>
  <sheetData>
    <row r="1" spans="1:21" ht="9.9499999999999993" customHeigh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6" t="s">
        <v>314</v>
      </c>
    </row>
    <row r="2" spans="1:21" ht="18">
      <c r="A2" s="7"/>
      <c r="B2" s="8" t="s">
        <v>315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9">
        <v>45371.4059375</v>
      </c>
    </row>
    <row r="3" spans="1:21" ht="15.75" customHeight="1">
      <c r="A3" s="7"/>
      <c r="B3" s="10" t="s">
        <v>316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11"/>
    </row>
    <row r="4" spans="1:21" ht="11.25" hidden="1" customHeight="1" outlineLevel="1">
      <c r="A4" s="7"/>
      <c r="B4" s="8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11"/>
    </row>
    <row r="5" spans="1:21" ht="11.25" hidden="1" customHeight="1" outlineLevel="1">
      <c r="A5" s="12"/>
      <c r="B5" s="12" t="s">
        <v>317</v>
      </c>
      <c r="C5" s="13" t="str">
        <f t="shared" ref="C5:C7" si="0">IF("*,NULL"="*,NULL","Alle","*,NULL")</f>
        <v>Alle</v>
      </c>
      <c r="D5" s="12" t="s">
        <v>318</v>
      </c>
      <c r="E5" s="13" t="str">
        <f t="shared" ref="E5:E7" si="1">IF("*,NULL"="*,NULL","Alle","*,NULL")</f>
        <v>Alle</v>
      </c>
    </row>
    <row r="6" spans="1:21" ht="11.25" hidden="1" customHeight="1" outlineLevel="1">
      <c r="A6" s="12"/>
      <c r="B6" s="12" t="s">
        <v>319</v>
      </c>
      <c r="C6" s="13" t="str">
        <f t="shared" si="0"/>
        <v>Alle</v>
      </c>
      <c r="D6" s="12" t="s">
        <v>320</v>
      </c>
      <c r="E6" s="13" t="str">
        <f t="shared" si="1"/>
        <v>Alle</v>
      </c>
    </row>
    <row r="7" spans="1:21" ht="11.25" hidden="1" customHeight="1" outlineLevel="1">
      <c r="A7" s="12"/>
      <c r="B7" s="12" t="s">
        <v>321</v>
      </c>
      <c r="C7" s="13" t="str">
        <f t="shared" si="0"/>
        <v>Alle</v>
      </c>
      <c r="D7" s="12" t="s">
        <v>322</v>
      </c>
      <c r="E7" s="13" t="str">
        <f t="shared" si="1"/>
        <v>Alle</v>
      </c>
    </row>
    <row r="8" spans="1:21" ht="11.25" customHeight="1" collapsed="1">
      <c r="D8" s="6"/>
      <c r="E8" s="6"/>
    </row>
    <row r="9" spans="1:21">
      <c r="B9" s="14" t="str">
        <f>"Periode: "&amp;"202301"&amp;"-"&amp;"202312"</f>
        <v>Periode: 202301-202312</v>
      </c>
      <c r="C9" s="15"/>
      <c r="D9" s="183" t="s">
        <v>323</v>
      </c>
      <c r="E9" s="184"/>
      <c r="F9" s="184"/>
      <c r="G9" s="184"/>
      <c r="H9" s="184"/>
      <c r="I9" s="184"/>
      <c r="J9" s="184"/>
      <c r="K9" s="184"/>
      <c r="L9" s="184"/>
      <c r="M9" s="183" t="s">
        <v>324</v>
      </c>
      <c r="N9" s="184"/>
      <c r="O9" s="184"/>
      <c r="P9" s="184"/>
      <c r="Q9" s="184"/>
      <c r="R9" s="184"/>
      <c r="S9" s="184"/>
      <c r="T9" s="184"/>
      <c r="U9" s="185"/>
    </row>
    <row r="10" spans="1:21" ht="15" customHeight="1">
      <c r="B10" s="17"/>
      <c r="C10" s="18"/>
      <c r="D10" s="19" t="s">
        <v>325</v>
      </c>
      <c r="E10" s="20" t="s">
        <v>53</v>
      </c>
      <c r="F10" s="20" t="s">
        <v>326</v>
      </c>
      <c r="G10" s="20"/>
      <c r="H10" s="20" t="s">
        <v>327</v>
      </c>
      <c r="I10" s="20" t="s">
        <v>328</v>
      </c>
      <c r="J10" s="20" t="s">
        <v>326</v>
      </c>
      <c r="K10" s="20"/>
      <c r="L10" s="20" t="s">
        <v>329</v>
      </c>
      <c r="M10" s="21" t="s">
        <v>325</v>
      </c>
      <c r="N10" s="20" t="s">
        <v>53</v>
      </c>
      <c r="O10" s="20" t="s">
        <v>326</v>
      </c>
      <c r="P10" s="20"/>
      <c r="Q10" s="20" t="s">
        <v>327</v>
      </c>
      <c r="R10" s="20" t="s">
        <v>328</v>
      </c>
      <c r="S10" s="20" t="s">
        <v>326</v>
      </c>
      <c r="T10" s="18"/>
      <c r="U10" s="18" t="s">
        <v>329</v>
      </c>
    </row>
    <row r="11" spans="1:21" ht="9" customHeight="1">
      <c r="A11" s="22"/>
      <c r="B11" s="23"/>
      <c r="C11" s="24"/>
      <c r="D11" s="25"/>
      <c r="E11" s="26"/>
      <c r="F11" s="26"/>
      <c r="G11" s="26"/>
      <c r="H11" s="26"/>
      <c r="I11" s="26"/>
      <c r="J11" s="26"/>
      <c r="K11" s="26"/>
      <c r="L11" s="26"/>
      <c r="M11" s="27"/>
      <c r="T11" s="24"/>
      <c r="U11" s="24"/>
    </row>
    <row r="12" spans="1:21" hidden="1" outlineLevel="2">
      <c r="A12" s="22"/>
      <c r="B12" s="28">
        <v>3100</v>
      </c>
      <c r="C12" s="29" t="s">
        <v>54</v>
      </c>
      <c r="D12" s="5">
        <f>-N(-95780.75)</f>
        <v>95780.75</v>
      </c>
      <c r="E12" s="30">
        <f>-N(-85000)</f>
        <v>85000</v>
      </c>
      <c r="F12" s="30">
        <f t="shared" ref="F12:F23" si="2">D12-E12</f>
        <v>10780.75</v>
      </c>
      <c r="G12" s="30"/>
      <c r="H12" s="31">
        <f t="shared" ref="H12:H23" si="3">IF(E12=0,0,F12*100/E12)</f>
        <v>12.683235294117647</v>
      </c>
      <c r="I12" s="32">
        <f>-N(-23653.25)</f>
        <v>23653.25</v>
      </c>
      <c r="J12" s="30">
        <f t="shared" ref="J12:J23" si="4">D12-I12</f>
        <v>72127.5</v>
      </c>
      <c r="K12" s="30"/>
      <c r="L12" s="30">
        <f t="shared" ref="L12:L23" si="5">IF(I12=0,0,J12*100/I12)</f>
        <v>304.93695369558094</v>
      </c>
      <c r="M12" s="5">
        <f>-N(-95780.75)</f>
        <v>95780.75</v>
      </c>
      <c r="N12" s="30">
        <f>-N(-85000)</f>
        <v>85000</v>
      </c>
      <c r="O12" s="30">
        <f t="shared" ref="O12:O23" si="6">M12-N12</f>
        <v>10780.75</v>
      </c>
      <c r="P12" s="30"/>
      <c r="Q12" s="30">
        <f t="shared" ref="Q12:Q23" si="7">IF(N12=0,0,O12*100/N12)</f>
        <v>12.683235294117647</v>
      </c>
      <c r="R12" s="32">
        <f>-N(-23653.25)</f>
        <v>23653.25</v>
      </c>
      <c r="S12" s="33">
        <f t="shared" ref="S12:S23" si="8">M12-R12</f>
        <v>72127.5</v>
      </c>
      <c r="T12" s="34"/>
      <c r="U12" s="34">
        <f t="shared" ref="U12:U23" si="9">IF(R12=0,0,S12*100/R12)</f>
        <v>304.93695369558094</v>
      </c>
    </row>
    <row r="13" spans="1:21" hidden="1" outlineLevel="2">
      <c r="A13" s="22"/>
      <c r="B13" s="28">
        <v>3110</v>
      </c>
      <c r="C13" s="29" t="s">
        <v>55</v>
      </c>
      <c r="D13" s="5">
        <f>-N(-1733)</f>
        <v>1733</v>
      </c>
      <c r="E13" s="30">
        <f t="shared" ref="E13:E14" si="10">-N(0)</f>
        <v>0</v>
      </c>
      <c r="F13" s="30">
        <f t="shared" si="2"/>
        <v>1733</v>
      </c>
      <c r="G13" s="30"/>
      <c r="H13" s="31">
        <f t="shared" si="3"/>
        <v>0</v>
      </c>
      <c r="I13" s="32">
        <f>-N(-11033.6)</f>
        <v>11033.6</v>
      </c>
      <c r="J13" s="30">
        <f t="shared" si="4"/>
        <v>-9300.6</v>
      </c>
      <c r="K13" s="30"/>
      <c r="L13" s="30">
        <f t="shared" si="5"/>
        <v>-84.293430974477957</v>
      </c>
      <c r="M13" s="5">
        <f>-N(-1733)</f>
        <v>1733</v>
      </c>
      <c r="N13" s="30">
        <f t="shared" ref="N13:N14" si="11">-N(0)</f>
        <v>0</v>
      </c>
      <c r="O13" s="30">
        <f t="shared" si="6"/>
        <v>1733</v>
      </c>
      <c r="P13" s="30"/>
      <c r="Q13" s="30">
        <f t="shared" si="7"/>
        <v>0</v>
      </c>
      <c r="R13" s="32">
        <f>-N(-11033.6)</f>
        <v>11033.6</v>
      </c>
      <c r="S13" s="33">
        <f t="shared" si="8"/>
        <v>-9300.6</v>
      </c>
      <c r="T13" s="34"/>
      <c r="U13" s="34">
        <f t="shared" si="9"/>
        <v>-84.293430974477957</v>
      </c>
    </row>
    <row r="14" spans="1:21" hidden="1" outlineLevel="2">
      <c r="A14" s="22"/>
      <c r="B14" s="28">
        <v>3700</v>
      </c>
      <c r="C14" s="29" t="s">
        <v>56</v>
      </c>
      <c r="D14" s="5">
        <f>-N(0)</f>
        <v>0</v>
      </c>
      <c r="E14" s="30">
        <f t="shared" si="10"/>
        <v>0</v>
      </c>
      <c r="F14" s="30">
        <f t="shared" si="2"/>
        <v>0</v>
      </c>
      <c r="G14" s="30"/>
      <c r="H14" s="31">
        <f t="shared" si="3"/>
        <v>0</v>
      </c>
      <c r="I14" s="32">
        <f>-N(-562.5)</f>
        <v>562.5</v>
      </c>
      <c r="J14" s="30">
        <f t="shared" si="4"/>
        <v>-562.5</v>
      </c>
      <c r="K14" s="30"/>
      <c r="L14" s="30">
        <f t="shared" si="5"/>
        <v>-100</v>
      </c>
      <c r="M14" s="5">
        <f>-N(0)</f>
        <v>0</v>
      </c>
      <c r="N14" s="30">
        <f t="shared" si="11"/>
        <v>0</v>
      </c>
      <c r="O14" s="30">
        <f t="shared" si="6"/>
        <v>0</v>
      </c>
      <c r="P14" s="30"/>
      <c r="Q14" s="30">
        <f t="shared" si="7"/>
        <v>0</v>
      </c>
      <c r="R14" s="32">
        <f>-N(-562.5)</f>
        <v>562.5</v>
      </c>
      <c r="S14" s="33">
        <f t="shared" si="8"/>
        <v>-562.5</v>
      </c>
      <c r="T14" s="34"/>
      <c r="U14" s="34">
        <f t="shared" si="9"/>
        <v>-100</v>
      </c>
    </row>
    <row r="15" spans="1:21" hidden="1" outlineLevel="1" collapsed="1">
      <c r="A15" s="22"/>
      <c r="B15" s="35" t="str">
        <f>"    "&amp;"Salgsinntekt, avgiftspliktig"</f>
        <v xml:space="preserve">    Salgsinntekt, avgiftspliktig</v>
      </c>
      <c r="C15" s="36"/>
      <c r="D15" s="37">
        <f t="shared" ref="D15:E15" si="12">SUM(D12:D14)</f>
        <v>97513.75</v>
      </c>
      <c r="E15" s="33">
        <f t="shared" si="12"/>
        <v>85000</v>
      </c>
      <c r="F15" s="33">
        <f t="shared" si="2"/>
        <v>12513.75</v>
      </c>
      <c r="G15" s="33"/>
      <c r="H15" s="38">
        <f t="shared" si="3"/>
        <v>14.722058823529412</v>
      </c>
      <c r="I15" s="39">
        <f>SUM(I12:I14)</f>
        <v>35249.35</v>
      </c>
      <c r="J15" s="33">
        <f t="shared" si="4"/>
        <v>62264.4</v>
      </c>
      <c r="K15" s="33"/>
      <c r="L15" s="40">
        <f t="shared" si="5"/>
        <v>176.63985293345834</v>
      </c>
      <c r="M15" s="37">
        <f t="shared" ref="M15:N15" si="13">SUM(M12:M14)</f>
        <v>97513.75</v>
      </c>
      <c r="N15" s="33">
        <f t="shared" si="13"/>
        <v>85000</v>
      </c>
      <c r="O15" s="33">
        <f t="shared" si="6"/>
        <v>12513.75</v>
      </c>
      <c r="P15" s="33"/>
      <c r="Q15" s="33">
        <f t="shared" si="7"/>
        <v>14.722058823529412</v>
      </c>
      <c r="R15" s="39">
        <f>SUM(R12:R14)</f>
        <v>35249.35</v>
      </c>
      <c r="S15" s="33">
        <f t="shared" si="8"/>
        <v>62264.4</v>
      </c>
      <c r="T15" s="34"/>
      <c r="U15" s="34">
        <f t="shared" si="9"/>
        <v>176.63985293345834</v>
      </c>
    </row>
    <row r="16" spans="1:21" hidden="1" outlineLevel="2">
      <c r="A16" s="22"/>
      <c r="B16" s="28">
        <v>3701</v>
      </c>
      <c r="C16" s="29" t="s">
        <v>57</v>
      </c>
      <c r="D16" s="5">
        <f>-N(-9470)</f>
        <v>9470</v>
      </c>
      <c r="E16" s="30">
        <f>-N(0)</f>
        <v>0</v>
      </c>
      <c r="F16" s="30">
        <f t="shared" si="2"/>
        <v>9470</v>
      </c>
      <c r="G16" s="30"/>
      <c r="H16" s="31">
        <f t="shared" si="3"/>
        <v>0</v>
      </c>
      <c r="I16" s="32">
        <f>-N(0)</f>
        <v>0</v>
      </c>
      <c r="J16" s="30">
        <f t="shared" si="4"/>
        <v>9470</v>
      </c>
      <c r="K16" s="30"/>
      <c r="L16" s="30">
        <f t="shared" si="5"/>
        <v>0</v>
      </c>
      <c r="M16" s="5">
        <f>-N(-9470)</f>
        <v>9470</v>
      </c>
      <c r="N16" s="30">
        <f>-N(0)</f>
        <v>0</v>
      </c>
      <c r="O16" s="30">
        <f t="shared" si="6"/>
        <v>9470</v>
      </c>
      <c r="P16" s="30"/>
      <c r="Q16" s="30">
        <f t="shared" si="7"/>
        <v>0</v>
      </c>
      <c r="R16" s="32">
        <f>-N(0)</f>
        <v>0</v>
      </c>
      <c r="S16" s="33">
        <f t="shared" si="8"/>
        <v>9470</v>
      </c>
      <c r="T16" s="34"/>
      <c r="U16" s="34">
        <f t="shared" si="9"/>
        <v>0</v>
      </c>
    </row>
    <row r="17" spans="1:21" hidden="1" outlineLevel="1" collapsed="1">
      <c r="A17" s="22"/>
      <c r="B17" s="35" t="str">
        <f>"    "&amp;"Salgsinntekt, avgiftsfri"</f>
        <v xml:space="preserve">    Salgsinntekt, avgiftsfri</v>
      </c>
      <c r="C17" s="36"/>
      <c r="D17" s="37">
        <f t="shared" ref="D17:E17" si="14">SUM(D16)</f>
        <v>9470</v>
      </c>
      <c r="E17" s="33">
        <f t="shared" si="14"/>
        <v>0</v>
      </c>
      <c r="F17" s="33">
        <f t="shared" si="2"/>
        <v>9470</v>
      </c>
      <c r="G17" s="33"/>
      <c r="H17" s="38">
        <f t="shared" si="3"/>
        <v>0</v>
      </c>
      <c r="I17" s="39">
        <f>SUM(I16)</f>
        <v>0</v>
      </c>
      <c r="J17" s="33">
        <f t="shared" si="4"/>
        <v>9470</v>
      </c>
      <c r="K17" s="33"/>
      <c r="L17" s="40">
        <f t="shared" si="5"/>
        <v>0</v>
      </c>
      <c r="M17" s="37">
        <f t="shared" ref="M17:N17" si="15">SUM(M16)</f>
        <v>9470</v>
      </c>
      <c r="N17" s="33">
        <f t="shared" si="15"/>
        <v>0</v>
      </c>
      <c r="O17" s="33">
        <f t="shared" si="6"/>
        <v>9470</v>
      </c>
      <c r="P17" s="33"/>
      <c r="Q17" s="33">
        <f t="shared" si="7"/>
        <v>0</v>
      </c>
      <c r="R17" s="39">
        <f>SUM(R16)</f>
        <v>0</v>
      </c>
      <c r="S17" s="33">
        <f t="shared" si="8"/>
        <v>9470</v>
      </c>
      <c r="T17" s="34"/>
      <c r="U17" s="34">
        <f t="shared" si="9"/>
        <v>0</v>
      </c>
    </row>
    <row r="18" spans="1:21" hidden="1" outlineLevel="2">
      <c r="A18" s="22"/>
      <c r="B18" s="28">
        <v>3200</v>
      </c>
      <c r="C18" s="29" t="s">
        <v>58</v>
      </c>
      <c r="D18" s="5">
        <f>-N(-3803091.94)</f>
        <v>3803091.94</v>
      </c>
      <c r="E18" s="30">
        <f>-N(-3242200)</f>
        <v>3242200</v>
      </c>
      <c r="F18" s="30">
        <f t="shared" si="2"/>
        <v>560891.93999999994</v>
      </c>
      <c r="G18" s="30"/>
      <c r="H18" s="31">
        <f t="shared" si="3"/>
        <v>17.299732897415332</v>
      </c>
      <c r="I18" s="32">
        <f>-N(-1939984)</f>
        <v>1939984</v>
      </c>
      <c r="J18" s="30">
        <f t="shared" si="4"/>
        <v>1863107.94</v>
      </c>
      <c r="K18" s="30"/>
      <c r="L18" s="30">
        <f t="shared" si="5"/>
        <v>96.037283812650003</v>
      </c>
      <c r="M18" s="5">
        <f>-N(-3803091.94)</f>
        <v>3803091.94</v>
      </c>
      <c r="N18" s="30">
        <f>-N(-3242200)</f>
        <v>3242200</v>
      </c>
      <c r="O18" s="30">
        <f t="shared" si="6"/>
        <v>560891.93999999994</v>
      </c>
      <c r="P18" s="30"/>
      <c r="Q18" s="30">
        <f t="shared" si="7"/>
        <v>17.299732897415332</v>
      </c>
      <c r="R18" s="32">
        <f>-N(-1939984)</f>
        <v>1939984</v>
      </c>
      <c r="S18" s="33">
        <f t="shared" si="8"/>
        <v>1863107.94</v>
      </c>
      <c r="T18" s="34"/>
      <c r="U18" s="34">
        <f t="shared" si="9"/>
        <v>96.037283812650003</v>
      </c>
    </row>
    <row r="19" spans="1:21" hidden="1" outlineLevel="2">
      <c r="A19" s="22"/>
      <c r="B19" s="28">
        <v>3202</v>
      </c>
      <c r="C19" s="29" t="s">
        <v>60</v>
      </c>
      <c r="D19" s="5">
        <f>-N(-10000)</f>
        <v>10000</v>
      </c>
      <c r="E19" s="30">
        <f>-N(0)</f>
        <v>0</v>
      </c>
      <c r="F19" s="30">
        <f t="shared" si="2"/>
        <v>10000</v>
      </c>
      <c r="G19" s="30"/>
      <c r="H19" s="31">
        <f t="shared" si="3"/>
        <v>0</v>
      </c>
      <c r="I19" s="32">
        <f>-N(0)</f>
        <v>0</v>
      </c>
      <c r="J19" s="30">
        <f t="shared" si="4"/>
        <v>10000</v>
      </c>
      <c r="K19" s="30"/>
      <c r="L19" s="30">
        <f t="shared" si="5"/>
        <v>0</v>
      </c>
      <c r="M19" s="5">
        <f>-N(-10000)</f>
        <v>10000</v>
      </c>
      <c r="N19" s="30">
        <f>-N(0)</f>
        <v>0</v>
      </c>
      <c r="O19" s="30">
        <f t="shared" si="6"/>
        <v>10000</v>
      </c>
      <c r="P19" s="30"/>
      <c r="Q19" s="30">
        <f t="shared" si="7"/>
        <v>0</v>
      </c>
      <c r="R19" s="32">
        <f>-N(0)</f>
        <v>0</v>
      </c>
      <c r="S19" s="33">
        <f t="shared" si="8"/>
        <v>10000</v>
      </c>
      <c r="T19" s="34"/>
      <c r="U19" s="34">
        <f t="shared" si="9"/>
        <v>0</v>
      </c>
    </row>
    <row r="20" spans="1:21" hidden="1" outlineLevel="2">
      <c r="A20" s="22"/>
      <c r="B20" s="28">
        <v>3205</v>
      </c>
      <c r="C20" s="29" t="s">
        <v>61</v>
      </c>
      <c r="D20" s="5">
        <f>-N(-283858)</f>
        <v>283858</v>
      </c>
      <c r="E20" s="30">
        <f>-N(-200000)</f>
        <v>200000</v>
      </c>
      <c r="F20" s="30">
        <f t="shared" si="2"/>
        <v>83858</v>
      </c>
      <c r="G20" s="30"/>
      <c r="H20" s="31">
        <f t="shared" si="3"/>
        <v>41.929000000000002</v>
      </c>
      <c r="I20" s="32">
        <f>-N(-212330)</f>
        <v>212330</v>
      </c>
      <c r="J20" s="30">
        <f t="shared" si="4"/>
        <v>71528</v>
      </c>
      <c r="K20" s="30"/>
      <c r="L20" s="30">
        <f t="shared" si="5"/>
        <v>33.68718504215137</v>
      </c>
      <c r="M20" s="5">
        <f>-N(-283858)</f>
        <v>283858</v>
      </c>
      <c r="N20" s="30">
        <f>-N(-200000)</f>
        <v>200000</v>
      </c>
      <c r="O20" s="30">
        <f t="shared" si="6"/>
        <v>83858</v>
      </c>
      <c r="P20" s="30"/>
      <c r="Q20" s="30">
        <f t="shared" si="7"/>
        <v>41.929000000000002</v>
      </c>
      <c r="R20" s="32">
        <f>-N(-212330)</f>
        <v>212330</v>
      </c>
      <c r="S20" s="33">
        <f t="shared" si="8"/>
        <v>71528</v>
      </c>
      <c r="T20" s="34"/>
      <c r="U20" s="34">
        <f t="shared" si="9"/>
        <v>33.68718504215137</v>
      </c>
    </row>
    <row r="21" spans="1:21" hidden="1" outlineLevel="2">
      <c r="A21" s="22"/>
      <c r="B21" s="28">
        <v>3226</v>
      </c>
      <c r="C21" s="29" t="s">
        <v>62</v>
      </c>
      <c r="D21" s="5">
        <f>-N(-210000)</f>
        <v>210000</v>
      </c>
      <c r="E21" s="30">
        <f>-N(-150000)</f>
        <v>150000</v>
      </c>
      <c r="F21" s="30">
        <f t="shared" si="2"/>
        <v>60000</v>
      </c>
      <c r="G21" s="30"/>
      <c r="H21" s="31">
        <f t="shared" si="3"/>
        <v>40</v>
      </c>
      <c r="I21" s="32">
        <f>-N(-100000)</f>
        <v>100000</v>
      </c>
      <c r="J21" s="30">
        <f t="shared" si="4"/>
        <v>110000</v>
      </c>
      <c r="K21" s="30"/>
      <c r="L21" s="30">
        <f t="shared" si="5"/>
        <v>110</v>
      </c>
      <c r="M21" s="5">
        <f>-N(-210000)</f>
        <v>210000</v>
      </c>
      <c r="N21" s="30">
        <f>-N(-150000)</f>
        <v>150000</v>
      </c>
      <c r="O21" s="30">
        <f t="shared" si="6"/>
        <v>60000</v>
      </c>
      <c r="P21" s="30"/>
      <c r="Q21" s="30">
        <f t="shared" si="7"/>
        <v>40</v>
      </c>
      <c r="R21" s="32">
        <f>-N(-100000)</f>
        <v>100000</v>
      </c>
      <c r="S21" s="33">
        <f t="shared" si="8"/>
        <v>110000</v>
      </c>
      <c r="T21" s="34"/>
      <c r="U21" s="34">
        <f t="shared" si="9"/>
        <v>110</v>
      </c>
    </row>
    <row r="22" spans="1:21" hidden="1" outlineLevel="2">
      <c r="A22" s="22"/>
      <c r="B22" s="28">
        <v>3605</v>
      </c>
      <c r="C22" s="29" t="s">
        <v>60</v>
      </c>
      <c r="D22" s="5">
        <f t="shared" ref="D22:E22" si="16">-N(0)</f>
        <v>0</v>
      </c>
      <c r="E22" s="30">
        <f t="shared" si="16"/>
        <v>0</v>
      </c>
      <c r="F22" s="30">
        <f t="shared" si="2"/>
        <v>0</v>
      </c>
      <c r="G22" s="30"/>
      <c r="H22" s="31">
        <f t="shared" si="3"/>
        <v>0</v>
      </c>
      <c r="I22" s="32">
        <f t="shared" ref="I22:I23" si="17">-N(0)</f>
        <v>0</v>
      </c>
      <c r="J22" s="30">
        <f t="shared" si="4"/>
        <v>0</v>
      </c>
      <c r="K22" s="30"/>
      <c r="L22" s="30">
        <f t="shared" si="5"/>
        <v>0</v>
      </c>
      <c r="M22" s="5">
        <f t="shared" ref="M22:N22" si="18">-N(0)</f>
        <v>0</v>
      </c>
      <c r="N22" s="30">
        <f t="shared" si="18"/>
        <v>0</v>
      </c>
      <c r="O22" s="30">
        <f t="shared" si="6"/>
        <v>0</v>
      </c>
      <c r="P22" s="30"/>
      <c r="Q22" s="30">
        <f t="shared" si="7"/>
        <v>0</v>
      </c>
      <c r="R22" s="32">
        <f t="shared" ref="R22:R23" si="19">-N(0)</f>
        <v>0</v>
      </c>
      <c r="S22" s="33">
        <f t="shared" si="8"/>
        <v>0</v>
      </c>
      <c r="T22" s="34"/>
      <c r="U22" s="34">
        <f t="shared" si="9"/>
        <v>0</v>
      </c>
    </row>
    <row r="23" spans="1:21" hidden="1" outlineLevel="2">
      <c r="A23" s="22"/>
      <c r="B23" s="28">
        <v>3990</v>
      </c>
      <c r="C23" s="29" t="s">
        <v>64</v>
      </c>
      <c r="D23" s="5">
        <f>-N(912606.21)</f>
        <v>-912606.21</v>
      </c>
      <c r="E23" s="30">
        <f>-N(0)</f>
        <v>0</v>
      </c>
      <c r="F23" s="30">
        <f t="shared" si="2"/>
        <v>-912606.21</v>
      </c>
      <c r="G23" s="30"/>
      <c r="H23" s="31">
        <f t="shared" si="3"/>
        <v>0</v>
      </c>
      <c r="I23" s="32">
        <f t="shared" si="17"/>
        <v>0</v>
      </c>
      <c r="J23" s="30">
        <f t="shared" si="4"/>
        <v>-912606.21</v>
      </c>
      <c r="K23" s="30"/>
      <c r="L23" s="30">
        <f t="shared" si="5"/>
        <v>0</v>
      </c>
      <c r="M23" s="5">
        <f>-N(912606.21)</f>
        <v>-912606.21</v>
      </c>
      <c r="N23" s="30">
        <f>-N(0)</f>
        <v>0</v>
      </c>
      <c r="O23" s="30">
        <f t="shared" si="6"/>
        <v>-912606.21</v>
      </c>
      <c r="P23" s="30"/>
      <c r="Q23" s="30">
        <f t="shared" si="7"/>
        <v>0</v>
      </c>
      <c r="R23" s="32">
        <f t="shared" si="19"/>
        <v>0</v>
      </c>
      <c r="S23" s="33">
        <f t="shared" si="8"/>
        <v>-912606.21</v>
      </c>
      <c r="T23" s="34"/>
      <c r="U23" s="34">
        <f t="shared" si="9"/>
        <v>0</v>
      </c>
    </row>
    <row r="24" spans="1:21" hidden="1" outlineLevel="1" collapsed="1">
      <c r="A24" s="22"/>
      <c r="B24" s="35" t="str">
        <f>"    "&amp;"Arrangement"</f>
        <v xml:space="preserve">    Arrangement</v>
      </c>
      <c r="C24" s="36"/>
      <c r="D24" s="37">
        <f t="shared" ref="D24:E24" si="20">SUM(D18:D23)</f>
        <v>3394343.7299999995</v>
      </c>
      <c r="E24" s="33">
        <f t="shared" si="20"/>
        <v>3592200</v>
      </c>
      <c r="F24" s="33">
        <f>D24-E24</f>
        <v>-197856.27000000048</v>
      </c>
      <c r="G24" s="33"/>
      <c r="H24" s="38">
        <f>IF(E24=0,0,F24*100/E24)</f>
        <v>-5.5079413729747921</v>
      </c>
      <c r="I24" s="39">
        <f>SUM(I18:I23)</f>
        <v>2252314</v>
      </c>
      <c r="J24" s="33">
        <f>D24-I24</f>
        <v>1142029.7299999995</v>
      </c>
      <c r="K24" s="33"/>
      <c r="L24" s="40">
        <f>IF(I24=0,0,J24*100/I24)</f>
        <v>50.704729891125282</v>
      </c>
      <c r="M24" s="37">
        <f t="shared" ref="M24:N24" si="21">SUM(M18:M23)</f>
        <v>3394343.7299999995</v>
      </c>
      <c r="N24" s="33">
        <f t="shared" si="21"/>
        <v>3592200</v>
      </c>
      <c r="O24" s="33">
        <f>M24-N24</f>
        <v>-197856.27000000048</v>
      </c>
      <c r="P24" s="33"/>
      <c r="Q24" s="33">
        <f>IF(N24=0,0,O24*100/N24)</f>
        <v>-5.5079413729747921</v>
      </c>
      <c r="R24" s="39">
        <f>SUM(R18:R23)</f>
        <v>2252314</v>
      </c>
      <c r="S24" s="33">
        <f>M24-R24</f>
        <v>1142029.7299999995</v>
      </c>
      <c r="T24" s="34"/>
      <c r="U24" s="34">
        <f>IF(R24=0,0,S24*100/R24)</f>
        <v>50.704729891125282</v>
      </c>
    </row>
    <row r="25" spans="1:21" collapsed="1">
      <c r="A25" s="22"/>
      <c r="B25" s="41" t="s">
        <v>9</v>
      </c>
      <c r="C25" s="42"/>
      <c r="D25" s="43">
        <f t="shared" ref="D25:E25" si="22">SUM(D15,D17,D24)</f>
        <v>3501327.4799999995</v>
      </c>
      <c r="E25" s="44">
        <f t="shared" si="22"/>
        <v>3677200</v>
      </c>
      <c r="F25" s="44">
        <f t="shared" ref="F25:F46" si="23">D25-E25</f>
        <v>-175872.52000000048</v>
      </c>
      <c r="G25" s="44"/>
      <c r="H25" s="45">
        <f t="shared" ref="H25:H46" si="24">IF(E25=0,0,F25*100/E25)</f>
        <v>-4.7827836397258912</v>
      </c>
      <c r="I25" s="46">
        <f>SUM(I15,I17,I24)</f>
        <v>2287563.35</v>
      </c>
      <c r="J25" s="44">
        <f t="shared" ref="J25:J46" si="25">D25-I25</f>
        <v>1213764.1299999994</v>
      </c>
      <c r="K25" s="44"/>
      <c r="L25" s="44">
        <f t="shared" ref="L25:L46" si="26">IF(I25=0,0,J25*100/I25)</f>
        <v>53.059257572036174</v>
      </c>
      <c r="M25" s="43">
        <f t="shared" ref="M25:N25" si="27">SUM(M15,M17,M24)</f>
        <v>3501327.4799999995</v>
      </c>
      <c r="N25" s="44">
        <f t="shared" si="27"/>
        <v>3677200</v>
      </c>
      <c r="O25" s="44">
        <f t="shared" ref="O25:O46" si="28">M25-N25</f>
        <v>-175872.52000000048</v>
      </c>
      <c r="P25" s="44"/>
      <c r="Q25" s="44">
        <f t="shared" ref="Q25:Q46" si="29">IF(N25=0,0,O25*100/N25)</f>
        <v>-4.7827836397258912</v>
      </c>
      <c r="R25" s="46">
        <f>SUM(R15,R17,R24)</f>
        <v>2287563.35</v>
      </c>
      <c r="S25" s="44">
        <f t="shared" ref="S25:S46" si="30">M25-R25</f>
        <v>1213764.1299999994</v>
      </c>
      <c r="T25" s="47"/>
      <c r="U25" s="47">
        <f t="shared" ref="U25:U46" si="31">IF(R25=0,0,S25*100/R25)</f>
        <v>53.059257572036174</v>
      </c>
    </row>
    <row r="26" spans="1:21" hidden="1" outlineLevel="2">
      <c r="A26" s="22"/>
      <c r="B26" s="28">
        <v>3216</v>
      </c>
      <c r="C26" s="29" t="s">
        <v>66</v>
      </c>
      <c r="D26" s="5">
        <f t="shared" ref="D26:E26" si="32">-N(0)</f>
        <v>0</v>
      </c>
      <c r="E26" s="30">
        <f t="shared" si="32"/>
        <v>0</v>
      </c>
      <c r="F26" s="30">
        <f t="shared" si="23"/>
        <v>0</v>
      </c>
      <c r="G26" s="30"/>
      <c r="H26" s="31">
        <f t="shared" si="24"/>
        <v>0</v>
      </c>
      <c r="I26" s="32">
        <f>-N(-125000)</f>
        <v>125000</v>
      </c>
      <c r="J26" s="30">
        <f t="shared" si="25"/>
        <v>-125000</v>
      </c>
      <c r="K26" s="30"/>
      <c r="L26" s="30">
        <f t="shared" si="26"/>
        <v>-100</v>
      </c>
      <c r="M26" s="5">
        <f t="shared" ref="M26:N26" si="33">-N(0)</f>
        <v>0</v>
      </c>
      <c r="N26" s="30">
        <f t="shared" si="33"/>
        <v>0</v>
      </c>
      <c r="O26" s="30">
        <f t="shared" si="28"/>
        <v>0</v>
      </c>
      <c r="P26" s="30"/>
      <c r="Q26" s="30">
        <f t="shared" si="29"/>
        <v>0</v>
      </c>
      <c r="R26" s="32">
        <f>-N(-125000)</f>
        <v>125000</v>
      </c>
      <c r="S26" s="33">
        <f t="shared" si="30"/>
        <v>-125000</v>
      </c>
      <c r="T26" s="34"/>
      <c r="U26" s="34">
        <f t="shared" si="31"/>
        <v>-100</v>
      </c>
    </row>
    <row r="27" spans="1:21" hidden="1" outlineLevel="2">
      <c r="A27" s="22"/>
      <c r="B27" s="28">
        <v>3218</v>
      </c>
      <c r="C27" s="29" t="s">
        <v>67</v>
      </c>
      <c r="D27" s="5">
        <f>-N(-4540641.72)</f>
        <v>4540641.72</v>
      </c>
      <c r="E27" s="30">
        <f>-N(0)</f>
        <v>0</v>
      </c>
      <c r="F27" s="30">
        <f t="shared" si="23"/>
        <v>4540641.72</v>
      </c>
      <c r="G27" s="30"/>
      <c r="H27" s="31">
        <f t="shared" si="24"/>
        <v>0</v>
      </c>
      <c r="I27" s="32">
        <f>-N(-22170)</f>
        <v>22170</v>
      </c>
      <c r="J27" s="30">
        <f t="shared" si="25"/>
        <v>4518471.72</v>
      </c>
      <c r="K27" s="30"/>
      <c r="L27" s="30">
        <f t="shared" si="26"/>
        <v>20381.018132611636</v>
      </c>
      <c r="M27" s="5">
        <f>-N(-4540641.72)</f>
        <v>4540641.72</v>
      </c>
      <c r="N27" s="30">
        <f>-N(0)</f>
        <v>0</v>
      </c>
      <c r="O27" s="30">
        <f t="shared" si="28"/>
        <v>4540641.72</v>
      </c>
      <c r="P27" s="30"/>
      <c r="Q27" s="30">
        <f t="shared" si="29"/>
        <v>0</v>
      </c>
      <c r="R27" s="32">
        <f>-N(-22170)</f>
        <v>22170</v>
      </c>
      <c r="S27" s="33">
        <f t="shared" si="30"/>
        <v>4518471.72</v>
      </c>
      <c r="T27" s="34"/>
      <c r="U27" s="34">
        <f t="shared" si="31"/>
        <v>20381.018132611636</v>
      </c>
    </row>
    <row r="28" spans="1:21" hidden="1" outlineLevel="2">
      <c r="A28" s="22"/>
      <c r="B28" s="28">
        <v>3238</v>
      </c>
      <c r="C28" s="29" t="s">
        <v>69</v>
      </c>
      <c r="D28" s="5">
        <f>-N(-2695174.78)</f>
        <v>2695174.78</v>
      </c>
      <c r="E28" s="30">
        <f>-N(-2065000)</f>
        <v>2065000</v>
      </c>
      <c r="F28" s="30">
        <f t="shared" si="23"/>
        <v>630174.7799999998</v>
      </c>
      <c r="G28" s="30"/>
      <c r="H28" s="31">
        <f t="shared" si="24"/>
        <v>30.516938498789337</v>
      </c>
      <c r="I28" s="32">
        <f>-N(-2879253.85)</f>
        <v>2879253.85</v>
      </c>
      <c r="J28" s="30">
        <f t="shared" si="25"/>
        <v>-184079.0700000003</v>
      </c>
      <c r="K28" s="30"/>
      <c r="L28" s="30">
        <f t="shared" si="26"/>
        <v>-6.3932907478790133</v>
      </c>
      <c r="M28" s="5">
        <f>-N(-2695174.78)</f>
        <v>2695174.78</v>
      </c>
      <c r="N28" s="30">
        <f>-N(-2065000)</f>
        <v>2065000</v>
      </c>
      <c r="O28" s="30">
        <f t="shared" si="28"/>
        <v>630174.7799999998</v>
      </c>
      <c r="P28" s="30"/>
      <c r="Q28" s="30">
        <f t="shared" si="29"/>
        <v>30.516938498789337</v>
      </c>
      <c r="R28" s="32">
        <f>-N(-2879253.85)</f>
        <v>2879253.85</v>
      </c>
      <c r="S28" s="33">
        <f t="shared" si="30"/>
        <v>-184079.0700000003</v>
      </c>
      <c r="T28" s="34"/>
      <c r="U28" s="34">
        <f t="shared" si="31"/>
        <v>-6.3932907478790133</v>
      </c>
    </row>
    <row r="29" spans="1:21" hidden="1" outlineLevel="1" collapsed="1">
      <c r="A29" s="22"/>
      <c r="B29" s="35" t="str">
        <f>"    "&amp;"Gaver"</f>
        <v xml:space="preserve">    Gaver</v>
      </c>
      <c r="C29" s="36"/>
      <c r="D29" s="37">
        <f t="shared" ref="D29:E29" si="34">SUM(D26:D28)</f>
        <v>7235816.5</v>
      </c>
      <c r="E29" s="33">
        <f t="shared" si="34"/>
        <v>2065000</v>
      </c>
      <c r="F29" s="33">
        <f t="shared" si="23"/>
        <v>5170816.5</v>
      </c>
      <c r="G29" s="33"/>
      <c r="H29" s="38">
        <f t="shared" si="24"/>
        <v>250.40273607748185</v>
      </c>
      <c r="I29" s="39">
        <f>SUM(I26:I28)</f>
        <v>3026423.85</v>
      </c>
      <c r="J29" s="33">
        <f t="shared" si="25"/>
        <v>4209392.6500000004</v>
      </c>
      <c r="K29" s="33"/>
      <c r="L29" s="40">
        <f t="shared" si="26"/>
        <v>139.08800811228079</v>
      </c>
      <c r="M29" s="37">
        <f t="shared" ref="M29:N29" si="35">SUM(M26:M28)</f>
        <v>7235816.5</v>
      </c>
      <c r="N29" s="33">
        <f t="shared" si="35"/>
        <v>2065000</v>
      </c>
      <c r="O29" s="33">
        <f t="shared" si="28"/>
        <v>5170816.5</v>
      </c>
      <c r="P29" s="33"/>
      <c r="Q29" s="33">
        <f t="shared" si="29"/>
        <v>250.40273607748185</v>
      </c>
      <c r="R29" s="39">
        <f>SUM(R26:R28)</f>
        <v>3026423.85</v>
      </c>
      <c r="S29" s="33">
        <f t="shared" si="30"/>
        <v>4209392.6500000004</v>
      </c>
      <c r="T29" s="34"/>
      <c r="U29" s="34">
        <f t="shared" si="31"/>
        <v>139.08800811228079</v>
      </c>
    </row>
    <row r="30" spans="1:21" collapsed="1">
      <c r="A30" s="22"/>
      <c r="B30" s="41" t="s">
        <v>70</v>
      </c>
      <c r="C30" s="42"/>
      <c r="D30" s="43">
        <f t="shared" ref="D30:E30" si="36">SUM(D29)</f>
        <v>7235816.5</v>
      </c>
      <c r="E30" s="44">
        <f t="shared" si="36"/>
        <v>2065000</v>
      </c>
      <c r="F30" s="44">
        <f t="shared" si="23"/>
        <v>5170816.5</v>
      </c>
      <c r="G30" s="44"/>
      <c r="H30" s="45">
        <f t="shared" si="24"/>
        <v>250.40273607748185</v>
      </c>
      <c r="I30" s="46">
        <f>SUM(I29)</f>
        <v>3026423.85</v>
      </c>
      <c r="J30" s="44">
        <f t="shared" si="25"/>
        <v>4209392.6500000004</v>
      </c>
      <c r="K30" s="44"/>
      <c r="L30" s="44">
        <f t="shared" si="26"/>
        <v>139.08800811228079</v>
      </c>
      <c r="M30" s="43">
        <f t="shared" ref="M30:N30" si="37">SUM(M29)</f>
        <v>7235816.5</v>
      </c>
      <c r="N30" s="44">
        <f t="shared" si="37"/>
        <v>2065000</v>
      </c>
      <c r="O30" s="44">
        <f t="shared" si="28"/>
        <v>5170816.5</v>
      </c>
      <c r="P30" s="44"/>
      <c r="Q30" s="44">
        <f t="shared" si="29"/>
        <v>250.40273607748185</v>
      </c>
      <c r="R30" s="46">
        <f>SUM(R29)</f>
        <v>3026423.85</v>
      </c>
      <c r="S30" s="44">
        <f t="shared" si="30"/>
        <v>4209392.6500000004</v>
      </c>
      <c r="T30" s="47"/>
      <c r="U30" s="47">
        <f t="shared" si="31"/>
        <v>139.08800811228079</v>
      </c>
    </row>
    <row r="31" spans="1:21" hidden="1" outlineLevel="2">
      <c r="A31" s="22"/>
      <c r="B31" s="28">
        <v>3225</v>
      </c>
      <c r="C31" s="29" t="s">
        <v>71</v>
      </c>
      <c r="D31" s="5">
        <f>-N(-218950)</f>
        <v>218950</v>
      </c>
      <c r="E31" s="30">
        <f>-N(-325000)</f>
        <v>325000</v>
      </c>
      <c r="F31" s="30">
        <f t="shared" si="23"/>
        <v>-106050</v>
      </c>
      <c r="G31" s="30"/>
      <c r="H31" s="31">
        <f t="shared" si="24"/>
        <v>-32.630769230769232</v>
      </c>
      <c r="I31" s="32">
        <f>-N(-319070)</f>
        <v>319070</v>
      </c>
      <c r="J31" s="30">
        <f t="shared" si="25"/>
        <v>-100120</v>
      </c>
      <c r="K31" s="30"/>
      <c r="L31" s="30">
        <f t="shared" si="26"/>
        <v>-31.378694330397717</v>
      </c>
      <c r="M31" s="5">
        <f>-N(-218950)</f>
        <v>218950</v>
      </c>
      <c r="N31" s="30">
        <f>-N(-325000)</f>
        <v>325000</v>
      </c>
      <c r="O31" s="30">
        <f t="shared" si="28"/>
        <v>-106050</v>
      </c>
      <c r="P31" s="30"/>
      <c r="Q31" s="30">
        <f t="shared" si="29"/>
        <v>-32.630769230769232</v>
      </c>
      <c r="R31" s="32">
        <f>-N(-319070)</f>
        <v>319070</v>
      </c>
      <c r="S31" s="33">
        <f t="shared" si="30"/>
        <v>-100120</v>
      </c>
      <c r="T31" s="34"/>
      <c r="U31" s="34">
        <f t="shared" si="31"/>
        <v>-31.378694330397717</v>
      </c>
    </row>
    <row r="32" spans="1:21" hidden="1" outlineLevel="2">
      <c r="A32" s="22"/>
      <c r="B32" s="28">
        <v>3410</v>
      </c>
      <c r="C32" s="29" t="s">
        <v>22</v>
      </c>
      <c r="D32" s="5">
        <f>-N(-1710885.15)</f>
        <v>1710885.15</v>
      </c>
      <c r="E32" s="30">
        <f>-N(-4707746)</f>
        <v>4707746</v>
      </c>
      <c r="F32" s="30">
        <f t="shared" si="23"/>
        <v>-2996860.85</v>
      </c>
      <c r="G32" s="30"/>
      <c r="H32" s="31">
        <f t="shared" si="24"/>
        <v>-63.658082870231318</v>
      </c>
      <c r="I32" s="32">
        <f>-N(-2631764)</f>
        <v>2631764</v>
      </c>
      <c r="J32" s="30">
        <f t="shared" si="25"/>
        <v>-920878.85000000009</v>
      </c>
      <c r="K32" s="30"/>
      <c r="L32" s="30">
        <f t="shared" si="26"/>
        <v>-34.990935737398949</v>
      </c>
      <c r="M32" s="5">
        <f>-N(-1710885.15)</f>
        <v>1710885.15</v>
      </c>
      <c r="N32" s="30">
        <f>-N(-4707746)</f>
        <v>4707746</v>
      </c>
      <c r="O32" s="30">
        <f t="shared" si="28"/>
        <v>-2996860.85</v>
      </c>
      <c r="P32" s="30"/>
      <c r="Q32" s="30">
        <f t="shared" si="29"/>
        <v>-63.658082870231318</v>
      </c>
      <c r="R32" s="32">
        <f>-N(-2631764)</f>
        <v>2631764</v>
      </c>
      <c r="S32" s="33">
        <f t="shared" si="30"/>
        <v>-920878.85000000009</v>
      </c>
      <c r="T32" s="34"/>
      <c r="U32" s="34">
        <f t="shared" si="31"/>
        <v>-34.990935737398949</v>
      </c>
    </row>
    <row r="33" spans="1:21" hidden="1" outlineLevel="2">
      <c r="A33" s="22"/>
      <c r="B33" s="28">
        <v>3411</v>
      </c>
      <c r="C33" s="29" t="s">
        <v>23</v>
      </c>
      <c r="D33" s="5">
        <f>-N(-135819.04)</f>
        <v>135819.04</v>
      </c>
      <c r="E33" s="30">
        <f>-N(-318541)</f>
        <v>318541</v>
      </c>
      <c r="F33" s="30">
        <f t="shared" si="23"/>
        <v>-182721.96</v>
      </c>
      <c r="G33" s="30"/>
      <c r="H33" s="31">
        <f t="shared" si="24"/>
        <v>-57.362148043736916</v>
      </c>
      <c r="I33" s="32">
        <f>-N(-184223.71)</f>
        <v>184223.71</v>
      </c>
      <c r="J33" s="30">
        <f t="shared" si="25"/>
        <v>-48404.669999999984</v>
      </c>
      <c r="K33" s="30"/>
      <c r="L33" s="30">
        <f t="shared" si="26"/>
        <v>-26.27494039719425</v>
      </c>
      <c r="M33" s="5">
        <f>-N(-135819.04)</f>
        <v>135819.04</v>
      </c>
      <c r="N33" s="30">
        <f>-N(-318541)</f>
        <v>318541</v>
      </c>
      <c r="O33" s="30">
        <f t="shared" si="28"/>
        <v>-182721.96</v>
      </c>
      <c r="P33" s="30"/>
      <c r="Q33" s="30">
        <f t="shared" si="29"/>
        <v>-57.362148043736916</v>
      </c>
      <c r="R33" s="32">
        <f>-N(-184223.71)</f>
        <v>184223.71</v>
      </c>
      <c r="S33" s="33">
        <f t="shared" si="30"/>
        <v>-48404.669999999984</v>
      </c>
      <c r="T33" s="34"/>
      <c r="U33" s="34">
        <f t="shared" si="31"/>
        <v>-26.27494039719425</v>
      </c>
    </row>
    <row r="34" spans="1:21" hidden="1" outlineLevel="2">
      <c r="A34" s="22"/>
      <c r="B34" s="28">
        <v>3450</v>
      </c>
      <c r="C34" s="29" t="s">
        <v>72</v>
      </c>
      <c r="D34" s="5">
        <f>-N(-12380207.4)</f>
        <v>12380207.4</v>
      </c>
      <c r="E34" s="30">
        <f>-N(-11850000)</f>
        <v>11850000</v>
      </c>
      <c r="F34" s="30">
        <f t="shared" si="23"/>
        <v>530207.40000000037</v>
      </c>
      <c r="G34" s="30"/>
      <c r="H34" s="31">
        <f t="shared" si="24"/>
        <v>4.4743240506329149</v>
      </c>
      <c r="I34" s="32">
        <f>-N(-11915127)</f>
        <v>11915127</v>
      </c>
      <c r="J34" s="30">
        <f t="shared" si="25"/>
        <v>465080.40000000037</v>
      </c>
      <c r="K34" s="30"/>
      <c r="L34" s="30">
        <f t="shared" si="26"/>
        <v>3.9032769017065481</v>
      </c>
      <c r="M34" s="5">
        <f>-N(-12380207.4)</f>
        <v>12380207.4</v>
      </c>
      <c r="N34" s="30">
        <f>-N(-11850000)</f>
        <v>11850000</v>
      </c>
      <c r="O34" s="30">
        <f t="shared" si="28"/>
        <v>530207.40000000037</v>
      </c>
      <c r="P34" s="30"/>
      <c r="Q34" s="30">
        <f t="shared" si="29"/>
        <v>4.4743240506329149</v>
      </c>
      <c r="R34" s="32">
        <f>-N(-11915127)</f>
        <v>11915127</v>
      </c>
      <c r="S34" s="33">
        <f t="shared" si="30"/>
        <v>465080.40000000037</v>
      </c>
      <c r="T34" s="34"/>
      <c r="U34" s="34">
        <f t="shared" si="31"/>
        <v>3.9032769017065481</v>
      </c>
    </row>
    <row r="35" spans="1:21" hidden="1" outlineLevel="1" collapsed="1">
      <c r="A35" s="22"/>
      <c r="B35" s="35" t="str">
        <f>"    "&amp;"Offentlige tilskudd og refusjoner"</f>
        <v xml:space="preserve">    Offentlige tilskudd og refusjoner</v>
      </c>
      <c r="C35" s="36"/>
      <c r="D35" s="37">
        <f t="shared" ref="D35:E35" si="38">SUM(D31:D34)</f>
        <v>14445861.59</v>
      </c>
      <c r="E35" s="33">
        <f t="shared" si="38"/>
        <v>17201287</v>
      </c>
      <c r="F35" s="33">
        <f t="shared" si="23"/>
        <v>-2755425.41</v>
      </c>
      <c r="G35" s="33"/>
      <c r="H35" s="38">
        <f t="shared" si="24"/>
        <v>-16.018716564638449</v>
      </c>
      <c r="I35" s="39">
        <f>SUM(I31:I34)</f>
        <v>15050184.710000001</v>
      </c>
      <c r="J35" s="33">
        <f t="shared" si="25"/>
        <v>-604323.12000000104</v>
      </c>
      <c r="K35" s="33"/>
      <c r="L35" s="40">
        <f t="shared" si="26"/>
        <v>-4.0153867320874959</v>
      </c>
      <c r="M35" s="37">
        <f t="shared" ref="M35:N35" si="39">SUM(M31:M34)</f>
        <v>14445861.59</v>
      </c>
      <c r="N35" s="33">
        <f t="shared" si="39"/>
        <v>17201287</v>
      </c>
      <c r="O35" s="33">
        <f t="shared" si="28"/>
        <v>-2755425.41</v>
      </c>
      <c r="P35" s="33"/>
      <c r="Q35" s="33">
        <f t="shared" si="29"/>
        <v>-16.018716564638449</v>
      </c>
      <c r="R35" s="39">
        <f>SUM(R31:R34)</f>
        <v>15050184.710000001</v>
      </c>
      <c r="S35" s="33">
        <f t="shared" si="30"/>
        <v>-604323.12000000104</v>
      </c>
      <c r="T35" s="34"/>
      <c r="U35" s="34">
        <f t="shared" si="31"/>
        <v>-4.0153867320874959</v>
      </c>
    </row>
    <row r="36" spans="1:21" hidden="1" outlineLevel="2">
      <c r="A36" s="22"/>
      <c r="B36" s="28">
        <v>3210</v>
      </c>
      <c r="C36" s="29" t="s">
        <v>27</v>
      </c>
      <c r="D36" s="5">
        <f>-N(-13084800)</f>
        <v>13084800</v>
      </c>
      <c r="E36" s="30">
        <f>-N(-13250000)</f>
        <v>13250000</v>
      </c>
      <c r="F36" s="30">
        <f t="shared" si="23"/>
        <v>-165200</v>
      </c>
      <c r="G36" s="30"/>
      <c r="H36" s="31">
        <f t="shared" si="24"/>
        <v>-1.2467924528301886</v>
      </c>
      <c r="I36" s="32">
        <f>-N(-10762240)</f>
        <v>10762240</v>
      </c>
      <c r="J36" s="30">
        <f t="shared" si="25"/>
        <v>2322560</v>
      </c>
      <c r="K36" s="30"/>
      <c r="L36" s="30">
        <f t="shared" si="26"/>
        <v>21.580637488106564</v>
      </c>
      <c r="M36" s="5">
        <f>-N(-13084800)</f>
        <v>13084800</v>
      </c>
      <c r="N36" s="30">
        <f>-N(-13250000)</f>
        <v>13250000</v>
      </c>
      <c r="O36" s="30">
        <f t="shared" si="28"/>
        <v>-165200</v>
      </c>
      <c r="P36" s="30"/>
      <c r="Q36" s="30">
        <f t="shared" si="29"/>
        <v>-1.2467924528301886</v>
      </c>
      <c r="R36" s="32">
        <f>-N(-10762240)</f>
        <v>10762240</v>
      </c>
      <c r="S36" s="33">
        <f t="shared" si="30"/>
        <v>2322560</v>
      </c>
      <c r="T36" s="34"/>
      <c r="U36" s="34">
        <f t="shared" si="31"/>
        <v>21.580637488106564</v>
      </c>
    </row>
    <row r="37" spans="1:21" hidden="1" outlineLevel="2">
      <c r="A37" s="22"/>
      <c r="B37" s="28">
        <v>3212</v>
      </c>
      <c r="C37" s="29" t="s">
        <v>28</v>
      </c>
      <c r="D37" s="5">
        <f t="shared" ref="D37:D38" si="40">-N(0)</f>
        <v>0</v>
      </c>
      <c r="E37" s="30">
        <f>-N(0)</f>
        <v>0</v>
      </c>
      <c r="F37" s="30">
        <f t="shared" si="23"/>
        <v>0</v>
      </c>
      <c r="G37" s="30"/>
      <c r="H37" s="31">
        <f t="shared" si="24"/>
        <v>0</v>
      </c>
      <c r="I37" s="32">
        <f>-N(-2690560)</f>
        <v>2690560</v>
      </c>
      <c r="J37" s="30">
        <f t="shared" si="25"/>
        <v>-2690560</v>
      </c>
      <c r="K37" s="30"/>
      <c r="L37" s="30">
        <f t="shared" si="26"/>
        <v>-100</v>
      </c>
      <c r="M37" s="5">
        <f t="shared" ref="M37:M38" si="41">-N(0)</f>
        <v>0</v>
      </c>
      <c r="N37" s="30">
        <f>-N(0)</f>
        <v>0</v>
      </c>
      <c r="O37" s="30">
        <f t="shared" si="28"/>
        <v>0</v>
      </c>
      <c r="P37" s="30"/>
      <c r="Q37" s="30">
        <f t="shared" si="29"/>
        <v>0</v>
      </c>
      <c r="R37" s="32">
        <f>-N(-2690560)</f>
        <v>2690560</v>
      </c>
      <c r="S37" s="33">
        <f t="shared" si="30"/>
        <v>-2690560</v>
      </c>
      <c r="T37" s="34"/>
      <c r="U37" s="34">
        <f t="shared" si="31"/>
        <v>-100</v>
      </c>
    </row>
    <row r="38" spans="1:21" hidden="1" outlineLevel="2">
      <c r="A38" s="22"/>
      <c r="B38" s="28">
        <v>3215</v>
      </c>
      <c r="C38" s="29" t="s">
        <v>73</v>
      </c>
      <c r="D38" s="5">
        <f t="shared" si="40"/>
        <v>0</v>
      </c>
      <c r="E38" s="30">
        <f>-N(287)</f>
        <v>-287</v>
      </c>
      <c r="F38" s="30">
        <f t="shared" si="23"/>
        <v>287</v>
      </c>
      <c r="G38" s="30"/>
      <c r="H38" s="31">
        <f t="shared" si="24"/>
        <v>-100</v>
      </c>
      <c r="I38" s="32">
        <f>-N(0)</f>
        <v>0</v>
      </c>
      <c r="J38" s="30">
        <f t="shared" si="25"/>
        <v>0</v>
      </c>
      <c r="K38" s="30"/>
      <c r="L38" s="30">
        <f t="shared" si="26"/>
        <v>0</v>
      </c>
      <c r="M38" s="5">
        <f t="shared" si="41"/>
        <v>0</v>
      </c>
      <c r="N38" s="30">
        <f>-N(287)</f>
        <v>-287</v>
      </c>
      <c r="O38" s="30">
        <f t="shared" si="28"/>
        <v>287</v>
      </c>
      <c r="P38" s="30"/>
      <c r="Q38" s="30">
        <f t="shared" si="29"/>
        <v>-100</v>
      </c>
      <c r="R38" s="32">
        <f>-N(0)</f>
        <v>0</v>
      </c>
      <c r="S38" s="33">
        <f t="shared" si="30"/>
        <v>0</v>
      </c>
      <c r="T38" s="34"/>
      <c r="U38" s="34">
        <f t="shared" si="31"/>
        <v>0</v>
      </c>
    </row>
    <row r="39" spans="1:21" hidden="1" outlineLevel="2">
      <c r="A39" s="22"/>
      <c r="B39" s="28">
        <v>3230</v>
      </c>
      <c r="C39" s="29" t="s">
        <v>74</v>
      </c>
      <c r="D39" s="5">
        <f>-N(-9551472.18)</f>
        <v>9551472.1799999997</v>
      </c>
      <c r="E39" s="30">
        <f>-N(-9500000)</f>
        <v>9500000</v>
      </c>
      <c r="F39" s="30">
        <f t="shared" si="23"/>
        <v>51472.179999999702</v>
      </c>
      <c r="G39" s="30"/>
      <c r="H39" s="31">
        <f t="shared" si="24"/>
        <v>0.54181242105262839</v>
      </c>
      <c r="I39" s="32">
        <f>-N(-9224591.93)</f>
        <v>9224591.9299999997</v>
      </c>
      <c r="J39" s="30">
        <f t="shared" si="25"/>
        <v>326880.25</v>
      </c>
      <c r="K39" s="30"/>
      <c r="L39" s="30">
        <f t="shared" si="26"/>
        <v>3.543574094989804</v>
      </c>
      <c r="M39" s="5">
        <f>-N(-9551472.18)</f>
        <v>9551472.1799999997</v>
      </c>
      <c r="N39" s="30">
        <f>-N(-9500000)</f>
        <v>9500000</v>
      </c>
      <c r="O39" s="30">
        <f t="shared" si="28"/>
        <v>51472.179999999702</v>
      </c>
      <c r="P39" s="30"/>
      <c r="Q39" s="30">
        <f t="shared" si="29"/>
        <v>0.54181242105262839</v>
      </c>
      <c r="R39" s="32">
        <f>-N(-9224591.93)</f>
        <v>9224591.9299999997</v>
      </c>
      <c r="S39" s="33">
        <f t="shared" si="30"/>
        <v>326880.25</v>
      </c>
      <c r="T39" s="34"/>
      <c r="U39" s="34">
        <f t="shared" si="31"/>
        <v>3.543574094989804</v>
      </c>
    </row>
    <row r="40" spans="1:21" hidden="1" outlineLevel="1" collapsed="1">
      <c r="A40" s="22"/>
      <c r="B40" s="35" t="str">
        <f>"    "&amp;"Tilskudd frikirkens menigheter"</f>
        <v xml:space="preserve">    Tilskudd frikirkens menigheter</v>
      </c>
      <c r="C40" s="36"/>
      <c r="D40" s="37">
        <f t="shared" ref="D40:E40" si="42">SUM(D36:D39)</f>
        <v>22636272.18</v>
      </c>
      <c r="E40" s="33">
        <f t="shared" si="42"/>
        <v>22749713</v>
      </c>
      <c r="F40" s="33">
        <f t="shared" si="23"/>
        <v>-113440.8200000003</v>
      </c>
      <c r="G40" s="33"/>
      <c r="H40" s="38">
        <f t="shared" si="24"/>
        <v>-0.49864725765991114</v>
      </c>
      <c r="I40" s="39">
        <f>SUM(I36:I39)</f>
        <v>22677391.93</v>
      </c>
      <c r="J40" s="33">
        <f t="shared" si="25"/>
        <v>-41119.75</v>
      </c>
      <c r="K40" s="33"/>
      <c r="L40" s="40">
        <f t="shared" si="26"/>
        <v>-0.18132486366566053</v>
      </c>
      <c r="M40" s="37">
        <f t="shared" ref="M40:N40" si="43">SUM(M36:M39)</f>
        <v>22636272.18</v>
      </c>
      <c r="N40" s="33">
        <f t="shared" si="43"/>
        <v>22749713</v>
      </c>
      <c r="O40" s="33">
        <f t="shared" si="28"/>
        <v>-113440.8200000003</v>
      </c>
      <c r="P40" s="33"/>
      <c r="Q40" s="33">
        <f t="shared" si="29"/>
        <v>-0.49864725765991114</v>
      </c>
      <c r="R40" s="39">
        <f>SUM(R36:R39)</f>
        <v>22677391.93</v>
      </c>
      <c r="S40" s="33">
        <f t="shared" si="30"/>
        <v>-41119.75</v>
      </c>
      <c r="T40" s="34"/>
      <c r="U40" s="34">
        <f t="shared" si="31"/>
        <v>-0.18132486366566053</v>
      </c>
    </row>
    <row r="41" spans="1:21" hidden="1" outlineLevel="2">
      <c r="A41" s="22"/>
      <c r="B41" s="28">
        <v>3807</v>
      </c>
      <c r="C41" s="29" t="s">
        <v>75</v>
      </c>
      <c r="D41" s="5">
        <f t="shared" ref="D41:E41" si="44">-N(0)</f>
        <v>0</v>
      </c>
      <c r="E41" s="30">
        <f t="shared" si="44"/>
        <v>0</v>
      </c>
      <c r="F41" s="30">
        <f t="shared" si="23"/>
        <v>0</v>
      </c>
      <c r="G41" s="30"/>
      <c r="H41" s="31">
        <f t="shared" si="24"/>
        <v>0</v>
      </c>
      <c r="I41" s="32">
        <f>-N(-15000)</f>
        <v>15000</v>
      </c>
      <c r="J41" s="30">
        <f t="shared" si="25"/>
        <v>-15000</v>
      </c>
      <c r="K41" s="30"/>
      <c r="L41" s="30">
        <f t="shared" si="26"/>
        <v>-100</v>
      </c>
      <c r="M41" s="5">
        <f t="shared" ref="M41:N41" si="45">-N(0)</f>
        <v>0</v>
      </c>
      <c r="N41" s="30">
        <f t="shared" si="45"/>
        <v>0</v>
      </c>
      <c r="O41" s="30">
        <f t="shared" si="28"/>
        <v>0</v>
      </c>
      <c r="P41" s="30"/>
      <c r="Q41" s="30">
        <f t="shared" si="29"/>
        <v>0</v>
      </c>
      <c r="R41" s="32">
        <f>-N(-15000)</f>
        <v>15000</v>
      </c>
      <c r="S41" s="33">
        <f t="shared" si="30"/>
        <v>-15000</v>
      </c>
      <c r="T41" s="34"/>
      <c r="U41" s="34">
        <f t="shared" si="31"/>
        <v>-100</v>
      </c>
    </row>
    <row r="42" spans="1:21" hidden="1" outlineLevel="1" collapsed="1">
      <c r="A42" s="22"/>
      <c r="B42" s="35" t="str">
        <f>"    "&amp;"Gevinst ved avgang av anleggsmidler"</f>
        <v xml:space="preserve">    Gevinst ved avgang av anleggsmidler</v>
      </c>
      <c r="C42" s="36"/>
      <c r="D42" s="37">
        <f t="shared" ref="D42:E42" si="46">SUM(D41)</f>
        <v>0</v>
      </c>
      <c r="E42" s="33">
        <f t="shared" si="46"/>
        <v>0</v>
      </c>
      <c r="F42" s="33">
        <f t="shared" si="23"/>
        <v>0</v>
      </c>
      <c r="G42" s="33"/>
      <c r="H42" s="38">
        <f t="shared" si="24"/>
        <v>0</v>
      </c>
      <c r="I42" s="39">
        <f>SUM(I41)</f>
        <v>15000</v>
      </c>
      <c r="J42" s="33">
        <f t="shared" si="25"/>
        <v>-15000</v>
      </c>
      <c r="K42" s="33"/>
      <c r="L42" s="40">
        <f t="shared" si="26"/>
        <v>-100</v>
      </c>
      <c r="M42" s="37">
        <f t="shared" ref="M42:N42" si="47">SUM(M41)</f>
        <v>0</v>
      </c>
      <c r="N42" s="33">
        <f t="shared" si="47"/>
        <v>0</v>
      </c>
      <c r="O42" s="33">
        <f t="shared" si="28"/>
        <v>0</v>
      </c>
      <c r="P42" s="33"/>
      <c r="Q42" s="33">
        <f t="shared" si="29"/>
        <v>0</v>
      </c>
      <c r="R42" s="39">
        <f>SUM(R41)</f>
        <v>15000</v>
      </c>
      <c r="S42" s="33">
        <f t="shared" si="30"/>
        <v>-15000</v>
      </c>
      <c r="T42" s="34"/>
      <c r="U42" s="34">
        <f t="shared" si="31"/>
        <v>-100</v>
      </c>
    </row>
    <row r="43" spans="1:21" hidden="1" outlineLevel="2">
      <c r="A43" s="22"/>
      <c r="B43" s="28">
        <v>3211</v>
      </c>
      <c r="C43" s="29" t="s">
        <v>76</v>
      </c>
      <c r="D43" s="5">
        <f t="shared" ref="D43:E43" si="48">-N(0)</f>
        <v>0</v>
      </c>
      <c r="E43" s="30">
        <f t="shared" si="48"/>
        <v>0</v>
      </c>
      <c r="F43" s="30">
        <f t="shared" si="23"/>
        <v>0</v>
      </c>
      <c r="G43" s="30"/>
      <c r="H43" s="31">
        <f t="shared" si="24"/>
        <v>0</v>
      </c>
      <c r="I43" s="32">
        <f>-N(0)</f>
        <v>0</v>
      </c>
      <c r="J43" s="30">
        <f t="shared" si="25"/>
        <v>0</v>
      </c>
      <c r="K43" s="30"/>
      <c r="L43" s="30">
        <f t="shared" si="26"/>
        <v>0</v>
      </c>
      <c r="M43" s="5">
        <f t="shared" ref="M43:N43" si="49">-N(0)</f>
        <v>0</v>
      </c>
      <c r="N43" s="30">
        <f t="shared" si="49"/>
        <v>0</v>
      </c>
      <c r="O43" s="30">
        <f t="shared" si="28"/>
        <v>0</v>
      </c>
      <c r="P43" s="30"/>
      <c r="Q43" s="30">
        <f t="shared" si="29"/>
        <v>0</v>
      </c>
      <c r="R43" s="32">
        <f>-N(0)</f>
        <v>0</v>
      </c>
      <c r="S43" s="33">
        <f t="shared" si="30"/>
        <v>0</v>
      </c>
      <c r="T43" s="34"/>
      <c r="U43" s="34">
        <f t="shared" si="31"/>
        <v>0</v>
      </c>
    </row>
    <row r="44" spans="1:21" hidden="1" outlineLevel="2">
      <c r="A44" s="22"/>
      <c r="B44" s="28">
        <v>3455</v>
      </c>
      <c r="C44" s="29" t="s">
        <v>77</v>
      </c>
      <c r="D44" s="5">
        <f>-N(-1732230)</f>
        <v>1732230</v>
      </c>
      <c r="E44" s="30">
        <f>-N(-1421000)</f>
        <v>1421000</v>
      </c>
      <c r="F44" s="30">
        <f t="shared" si="23"/>
        <v>311230</v>
      </c>
      <c r="G44" s="30"/>
      <c r="H44" s="31">
        <f t="shared" si="24"/>
        <v>21.902181562280084</v>
      </c>
      <c r="I44" s="32">
        <f>-N(-1493808)</f>
        <v>1493808</v>
      </c>
      <c r="J44" s="30">
        <f t="shared" si="25"/>
        <v>238422</v>
      </c>
      <c r="K44" s="30"/>
      <c r="L44" s="30">
        <f t="shared" si="26"/>
        <v>15.960685710613411</v>
      </c>
      <c r="M44" s="5">
        <f>-N(-1732230)</f>
        <v>1732230</v>
      </c>
      <c r="N44" s="30">
        <f>-N(-1421000)</f>
        <v>1421000</v>
      </c>
      <c r="O44" s="30">
        <f t="shared" si="28"/>
        <v>311230</v>
      </c>
      <c r="P44" s="30"/>
      <c r="Q44" s="30">
        <f t="shared" si="29"/>
        <v>21.902181562280084</v>
      </c>
      <c r="R44" s="32">
        <f>-N(-1493808)</f>
        <v>1493808</v>
      </c>
      <c r="S44" s="33">
        <f t="shared" si="30"/>
        <v>238422</v>
      </c>
      <c r="T44" s="34"/>
      <c r="U44" s="34">
        <f t="shared" si="31"/>
        <v>15.960685710613411</v>
      </c>
    </row>
    <row r="45" spans="1:21" hidden="1" outlineLevel="2">
      <c r="A45" s="22"/>
      <c r="B45" s="28">
        <v>3600</v>
      </c>
      <c r="C45" s="29" t="s">
        <v>78</v>
      </c>
      <c r="D45" s="5">
        <f>-N(-494386.16)</f>
        <v>494386.16</v>
      </c>
      <c r="E45" s="30">
        <f>-N(-372850)</f>
        <v>372850</v>
      </c>
      <c r="F45" s="30">
        <f t="shared" si="23"/>
        <v>121536.15999999997</v>
      </c>
      <c r="G45" s="30"/>
      <c r="H45" s="31">
        <f t="shared" si="24"/>
        <v>32.596529435429794</v>
      </c>
      <c r="I45" s="32">
        <f>-N(-416271.69)</f>
        <v>416271.69</v>
      </c>
      <c r="J45" s="30">
        <f t="shared" si="25"/>
        <v>78114.469999999972</v>
      </c>
      <c r="K45" s="30"/>
      <c r="L45" s="30">
        <f t="shared" si="26"/>
        <v>18.765261216778871</v>
      </c>
      <c r="M45" s="5">
        <f>-N(-494386.16)</f>
        <v>494386.16</v>
      </c>
      <c r="N45" s="30">
        <f>-N(-372850)</f>
        <v>372850</v>
      </c>
      <c r="O45" s="30">
        <f t="shared" si="28"/>
        <v>121536.15999999997</v>
      </c>
      <c r="P45" s="30"/>
      <c r="Q45" s="30">
        <f t="shared" si="29"/>
        <v>32.596529435429794</v>
      </c>
      <c r="R45" s="32">
        <f>-N(-416271.69)</f>
        <v>416271.69</v>
      </c>
      <c r="S45" s="33">
        <f t="shared" si="30"/>
        <v>78114.469999999972</v>
      </c>
      <c r="T45" s="34"/>
      <c r="U45" s="34">
        <f t="shared" si="31"/>
        <v>18.765261216778871</v>
      </c>
    </row>
    <row r="46" spans="1:21" hidden="1" outlineLevel="2">
      <c r="A46" s="22"/>
      <c r="B46" s="28">
        <v>3900</v>
      </c>
      <c r="C46" s="29" t="s">
        <v>79</v>
      </c>
      <c r="D46" s="5">
        <f>-N(-707429.24)</f>
        <v>707429.24</v>
      </c>
      <c r="E46" s="30">
        <f>-N(-28500.08)</f>
        <v>28500.080000000002</v>
      </c>
      <c r="F46" s="30">
        <f t="shared" si="23"/>
        <v>678929.16</v>
      </c>
      <c r="G46" s="30"/>
      <c r="H46" s="31">
        <f t="shared" si="24"/>
        <v>2382.2008920676712</v>
      </c>
      <c r="I46" s="32">
        <f>-N(-56530.62)</f>
        <v>56530.62</v>
      </c>
      <c r="J46" s="30">
        <f t="shared" si="25"/>
        <v>650898.62</v>
      </c>
      <c r="K46" s="30"/>
      <c r="L46" s="30">
        <f t="shared" si="26"/>
        <v>1151.4089532363168</v>
      </c>
      <c r="M46" s="5">
        <f>-N(-707429.24)</f>
        <v>707429.24</v>
      </c>
      <c r="N46" s="30">
        <f>-N(-28500.08)</f>
        <v>28500.080000000002</v>
      </c>
      <c r="O46" s="30">
        <f t="shared" si="28"/>
        <v>678929.16</v>
      </c>
      <c r="P46" s="30"/>
      <c r="Q46" s="30">
        <f t="shared" si="29"/>
        <v>2382.2008920676712</v>
      </c>
      <c r="R46" s="32">
        <f>-N(-56530.62)</f>
        <v>56530.62</v>
      </c>
      <c r="S46" s="33">
        <f t="shared" si="30"/>
        <v>650898.62</v>
      </c>
      <c r="T46" s="34"/>
      <c r="U46" s="34">
        <f t="shared" si="31"/>
        <v>1151.4089532363168</v>
      </c>
    </row>
    <row r="47" spans="1:21" hidden="1" outlineLevel="1" collapsed="1">
      <c r="A47" s="22"/>
      <c r="B47" s="35" t="str">
        <f>"    "&amp;"Annen driftsrelatert inntekt"</f>
        <v xml:space="preserve">    Annen driftsrelatert inntekt</v>
      </c>
      <c r="C47" s="36"/>
      <c r="D47" s="37">
        <f t="shared" ref="D47:E47" si="50">SUM(D43:D46)</f>
        <v>2934045.4000000004</v>
      </c>
      <c r="E47" s="33">
        <f t="shared" si="50"/>
        <v>1822350.08</v>
      </c>
      <c r="F47" s="33">
        <f>D47-E47</f>
        <v>1111695.3200000003</v>
      </c>
      <c r="G47" s="33"/>
      <c r="H47" s="38">
        <f>IF(E47=0,0,F47*100/E47)</f>
        <v>61.003389645089499</v>
      </c>
      <c r="I47" s="39">
        <f>SUM(I43:I46)</f>
        <v>1966610.31</v>
      </c>
      <c r="J47" s="33">
        <f>D47-I47</f>
        <v>967435.09000000032</v>
      </c>
      <c r="K47" s="33"/>
      <c r="L47" s="40">
        <f>IF(I47=0,0,J47*100/I47)</f>
        <v>49.193024417735323</v>
      </c>
      <c r="M47" s="37">
        <f t="shared" ref="M47:N47" si="51">SUM(M43:M46)</f>
        <v>2934045.4000000004</v>
      </c>
      <c r="N47" s="33">
        <f t="shared" si="51"/>
        <v>1822350.08</v>
      </c>
      <c r="O47" s="33">
        <f>M47-N47</f>
        <v>1111695.3200000003</v>
      </c>
      <c r="P47" s="33"/>
      <c r="Q47" s="33">
        <f>IF(N47=0,0,O47*100/N47)</f>
        <v>61.003389645089499</v>
      </c>
      <c r="R47" s="39">
        <f>SUM(R43:R46)</f>
        <v>1966610.31</v>
      </c>
      <c r="S47" s="33">
        <f>M47-R47</f>
        <v>967435.09000000032</v>
      </c>
      <c r="T47" s="34"/>
      <c r="U47" s="34">
        <f>IF(R47=0,0,S47*100/R47)</f>
        <v>49.193024417735323</v>
      </c>
    </row>
    <row r="48" spans="1:21" collapsed="1">
      <c r="A48" s="22"/>
      <c r="B48" s="41" t="s">
        <v>80</v>
      </c>
      <c r="C48" s="42"/>
      <c r="D48" s="43">
        <f ca="1">SUM(OSRRefD13_2x_0)</f>
        <v>40016179.169999994</v>
      </c>
      <c r="E48" s="44">
        <f ca="1">SUM(OSRRefE13_2x_0)</f>
        <v>41773350.079999998</v>
      </c>
      <c r="F48" s="44">
        <f ca="1">D48-E48</f>
        <v>-1757170.9100000039</v>
      </c>
      <c r="G48" s="44"/>
      <c r="H48" s="45">
        <f ca="1">IF(E48=0,0,F48*100/E48)</f>
        <v>-4.2064400069299017</v>
      </c>
      <c r="I48" s="46">
        <f ca="1">SUM(OSRRefI13_2x_0)</f>
        <v>39709186.950000003</v>
      </c>
      <c r="J48" s="44">
        <f ca="1">D48-I48</f>
        <v>306992.21999999136</v>
      </c>
      <c r="K48" s="44"/>
      <c r="L48" s="44">
        <f ca="1">IF(I48=0,0,J48*100/I48)</f>
        <v>0.77310124829939719</v>
      </c>
      <c r="M48" s="43">
        <f ca="1">SUM(OSRRefM13_2x_0)</f>
        <v>40016179.169999994</v>
      </c>
      <c r="N48" s="44">
        <f ca="1">SUM(OSRRefN13_2x_0)</f>
        <v>41773350.079999998</v>
      </c>
      <c r="O48" s="44">
        <f ca="1">M48-N48</f>
        <v>-1757170.9100000039</v>
      </c>
      <c r="P48" s="44"/>
      <c r="Q48" s="44">
        <f ca="1">IF(N48=0,0,O48*100/N48)</f>
        <v>-4.2064400069299017</v>
      </c>
      <c r="R48" s="46">
        <f ca="1">SUM(OSRRefR13_2x_0)</f>
        <v>39709186.950000003</v>
      </c>
      <c r="S48" s="44">
        <f ca="1">M48-R48</f>
        <v>306992.21999999136</v>
      </c>
      <c r="T48" s="47"/>
      <c r="U48" s="47">
        <f ca="1">IF(R48=0,0,S48*100/R48)</f>
        <v>0.77310124829939719</v>
      </c>
    </row>
    <row r="49" spans="1:21">
      <c r="A49" s="22"/>
      <c r="B49" s="48" t="s">
        <v>10</v>
      </c>
      <c r="C49" s="49"/>
      <c r="D49" s="50">
        <f t="shared" ref="D49:E49" ca="1" si="52">SUM(D25,D30,D48)</f>
        <v>50753323.149999991</v>
      </c>
      <c r="E49" s="51">
        <f t="shared" ca="1" si="52"/>
        <v>47515550.079999998</v>
      </c>
      <c r="F49" s="51">
        <f ca="1">D49-E49</f>
        <v>3237773.0699999928</v>
      </c>
      <c r="G49" s="51"/>
      <c r="H49" s="52">
        <f ca="1">IF(E49=0,0,F49*100/E49)</f>
        <v>6.8141336142561455</v>
      </c>
      <c r="I49" s="53">
        <f ca="1">SUM(I25,I30,I48)</f>
        <v>45023174.150000006</v>
      </c>
      <c r="J49" s="51">
        <f ca="1">D49-I49</f>
        <v>5730148.9999999851</v>
      </c>
      <c r="K49" s="51"/>
      <c r="L49" s="51">
        <f ca="1">IF(I49=0,0,J49*100/I49)</f>
        <v>12.727110223080496</v>
      </c>
      <c r="M49" s="50">
        <f t="shared" ref="M49:N49" ca="1" si="53">SUM(M25,M30,M48)</f>
        <v>50753323.149999991</v>
      </c>
      <c r="N49" s="51">
        <f t="shared" ca="1" si="53"/>
        <v>47515550.079999998</v>
      </c>
      <c r="O49" s="51">
        <f ca="1">M49-N49</f>
        <v>3237773.0699999928</v>
      </c>
      <c r="P49" s="51"/>
      <c r="Q49" s="51">
        <f ca="1">IF(N49=0,0,O49*100/N49)</f>
        <v>6.8141336142561455</v>
      </c>
      <c r="R49" s="53">
        <f ca="1">SUM(R25,R30,R48)</f>
        <v>45023174.150000006</v>
      </c>
      <c r="S49" s="51">
        <f ca="1">M49-R49</f>
        <v>5730148.9999999851</v>
      </c>
      <c r="T49" s="54"/>
      <c r="U49" s="54">
        <f ca="1">IF(R49=0,0,S49*100/R49)</f>
        <v>12.727110223080496</v>
      </c>
    </row>
    <row r="50" spans="1:21" ht="9" customHeight="1">
      <c r="A50" s="22"/>
      <c r="B50" s="23"/>
      <c r="C50" s="24"/>
      <c r="D50" s="27"/>
      <c r="H50" s="55"/>
      <c r="I50" s="56"/>
      <c r="M50" s="27"/>
      <c r="R50" s="56"/>
      <c r="T50" s="24"/>
      <c r="U50" s="24"/>
    </row>
    <row r="51" spans="1:21" hidden="1" outlineLevel="2">
      <c r="A51" s="22"/>
      <c r="B51" s="28">
        <v>4301</v>
      </c>
      <c r="C51" s="29" t="s">
        <v>81</v>
      </c>
      <c r="D51" s="5">
        <f>N(316380.27)</f>
        <v>316380.27</v>
      </c>
      <c r="E51" s="30">
        <f>N(155000.01)</f>
        <v>155000.01</v>
      </c>
      <c r="F51" s="30">
        <f t="shared" ref="F51:F105" si="54">-D51+E51</f>
        <v>-161380.26</v>
      </c>
      <c r="G51" s="30"/>
      <c r="H51" s="31">
        <f t="shared" ref="H51:H105" si="55">IF(E51=0,0,F51*100/E51)</f>
        <v>-104.11629005701354</v>
      </c>
      <c r="I51" s="32">
        <f>N(205504.23)</f>
        <v>205504.23</v>
      </c>
      <c r="J51" s="30">
        <f t="shared" ref="J51:J105" si="56">-D51+I51</f>
        <v>-110876.04000000001</v>
      </c>
      <c r="K51" s="30"/>
      <c r="L51" s="30">
        <f t="shared" ref="L51:L105" si="57">IF(I51=0,0,J51*100/I51)</f>
        <v>-53.953166803427841</v>
      </c>
      <c r="M51" s="5">
        <f>N(316380.27)</f>
        <v>316380.27</v>
      </c>
      <c r="N51" s="30">
        <f>N(155000.01)</f>
        <v>155000.01</v>
      </c>
      <c r="O51" s="30">
        <f t="shared" ref="O51:O105" si="58">-M51+N51</f>
        <v>-161380.26</v>
      </c>
      <c r="P51" s="30"/>
      <c r="Q51" s="30">
        <f t="shared" ref="Q51:Q105" si="59">IF(N51=0,0,O51*100/N51)</f>
        <v>-104.11629005701354</v>
      </c>
      <c r="R51" s="32">
        <f>N(205504.23)</f>
        <v>205504.23</v>
      </c>
      <c r="S51" s="33">
        <f t="shared" ref="S51:S105" si="60">-M51+R51</f>
        <v>-110876.04000000001</v>
      </c>
      <c r="T51" s="34"/>
      <c r="U51" s="34">
        <f t="shared" ref="U51:U105" si="61">IF(R51=0,0,S51*100/R51)</f>
        <v>-53.953166803427841</v>
      </c>
    </row>
    <row r="52" spans="1:21" hidden="1" outlineLevel="2">
      <c r="A52" s="22"/>
      <c r="B52" s="28">
        <v>4305</v>
      </c>
      <c r="C52" s="29" t="s">
        <v>82</v>
      </c>
      <c r="D52" s="5">
        <f>N(65369)</f>
        <v>65369</v>
      </c>
      <c r="E52" s="30">
        <f>N(84000)</f>
        <v>84000</v>
      </c>
      <c r="F52" s="30">
        <f t="shared" si="54"/>
        <v>18631</v>
      </c>
      <c r="G52" s="30"/>
      <c r="H52" s="31">
        <f t="shared" si="55"/>
        <v>22.179761904761904</v>
      </c>
      <c r="I52" s="32">
        <f>N(47372)</f>
        <v>47372</v>
      </c>
      <c r="J52" s="30">
        <f t="shared" si="56"/>
        <v>-17997</v>
      </c>
      <c r="K52" s="30"/>
      <c r="L52" s="30">
        <f t="shared" si="57"/>
        <v>-37.990796250949927</v>
      </c>
      <c r="M52" s="5">
        <f>N(65369)</f>
        <v>65369</v>
      </c>
      <c r="N52" s="30">
        <f>N(84000)</f>
        <v>84000</v>
      </c>
      <c r="O52" s="30">
        <f t="shared" si="58"/>
        <v>18631</v>
      </c>
      <c r="P52" s="30"/>
      <c r="Q52" s="30">
        <f t="shared" si="59"/>
        <v>22.179761904761904</v>
      </c>
      <c r="R52" s="32">
        <f>N(47372)</f>
        <v>47372</v>
      </c>
      <c r="S52" s="33">
        <f t="shared" si="60"/>
        <v>-17997</v>
      </c>
      <c r="T52" s="34"/>
      <c r="U52" s="34">
        <f t="shared" si="61"/>
        <v>-37.990796250949927</v>
      </c>
    </row>
    <row r="53" spans="1:21" hidden="1" outlineLevel="2">
      <c r="A53" s="22"/>
      <c r="B53" s="28">
        <v>4360</v>
      </c>
      <c r="C53" s="29" t="s">
        <v>83</v>
      </c>
      <c r="D53" s="5">
        <f>N(53775.18)</f>
        <v>53775.18</v>
      </c>
      <c r="E53" s="30">
        <f>N(38000)</f>
        <v>38000</v>
      </c>
      <c r="F53" s="30">
        <f t="shared" si="54"/>
        <v>-15775.18</v>
      </c>
      <c r="G53" s="30"/>
      <c r="H53" s="31">
        <f t="shared" si="55"/>
        <v>-41.513631578947368</v>
      </c>
      <c r="I53" s="32">
        <f>N(28627.5)</f>
        <v>28627.5</v>
      </c>
      <c r="J53" s="30">
        <f t="shared" si="56"/>
        <v>-25147.68</v>
      </c>
      <c r="K53" s="30"/>
      <c r="L53" s="30">
        <f t="shared" si="57"/>
        <v>-87.844485197799315</v>
      </c>
      <c r="M53" s="5">
        <f>N(53775.18)</f>
        <v>53775.18</v>
      </c>
      <c r="N53" s="30">
        <f>N(38000)</f>
        <v>38000</v>
      </c>
      <c r="O53" s="30">
        <f t="shared" si="58"/>
        <v>-15775.18</v>
      </c>
      <c r="P53" s="30"/>
      <c r="Q53" s="30">
        <f t="shared" si="59"/>
        <v>-41.513631578947368</v>
      </c>
      <c r="R53" s="32">
        <f>N(28627.5)</f>
        <v>28627.5</v>
      </c>
      <c r="S53" s="33">
        <f t="shared" si="60"/>
        <v>-25147.68</v>
      </c>
      <c r="T53" s="34"/>
      <c r="U53" s="34">
        <f t="shared" si="61"/>
        <v>-87.844485197799315</v>
      </c>
    </row>
    <row r="54" spans="1:21" hidden="1" outlineLevel="1" collapsed="1">
      <c r="A54" s="22"/>
      <c r="B54" s="35" t="str">
        <f>"    "&amp;"Forbruk av innkjøpte varer for videresalg"</f>
        <v xml:space="preserve">    Forbruk av innkjøpte varer for videresalg</v>
      </c>
      <c r="C54" s="36"/>
      <c r="D54" s="37">
        <f t="shared" ref="D54:E54" si="62">SUM(D51:D53)</f>
        <v>435524.45</v>
      </c>
      <c r="E54" s="33">
        <f t="shared" si="62"/>
        <v>277000.01</v>
      </c>
      <c r="F54" s="33">
        <f t="shared" si="54"/>
        <v>-158524.44</v>
      </c>
      <c r="G54" s="33"/>
      <c r="H54" s="38">
        <f t="shared" si="55"/>
        <v>-57.229037645161092</v>
      </c>
      <c r="I54" s="39">
        <f>SUM(I51:I53)</f>
        <v>281503.73</v>
      </c>
      <c r="J54" s="33">
        <f t="shared" si="56"/>
        <v>-154020.72000000003</v>
      </c>
      <c r="K54" s="33"/>
      <c r="L54" s="33">
        <f t="shared" si="57"/>
        <v>-54.713562765225191</v>
      </c>
      <c r="M54" s="37">
        <f t="shared" ref="M54:N54" si="63">SUM(M51:M53)</f>
        <v>435524.45</v>
      </c>
      <c r="N54" s="33">
        <f t="shared" si="63"/>
        <v>277000.01</v>
      </c>
      <c r="O54" s="33">
        <f t="shared" si="58"/>
        <v>-158524.44</v>
      </c>
      <c r="P54" s="33"/>
      <c r="Q54" s="33">
        <f t="shared" si="59"/>
        <v>-57.229037645161092</v>
      </c>
      <c r="R54" s="39">
        <f>SUM(R51:R53)</f>
        <v>281503.73</v>
      </c>
      <c r="S54" s="33">
        <f t="shared" si="60"/>
        <v>-154020.72000000003</v>
      </c>
      <c r="T54" s="34"/>
      <c r="U54" s="34">
        <f t="shared" si="61"/>
        <v>-54.713562765225191</v>
      </c>
    </row>
    <row r="55" spans="1:21" collapsed="1">
      <c r="A55" s="22"/>
      <c r="B55" s="41" t="s">
        <v>16</v>
      </c>
      <c r="C55" s="42"/>
      <c r="D55" s="43">
        <f t="shared" ref="D55:E55" si="64">SUM(D54)</f>
        <v>435524.45</v>
      </c>
      <c r="E55" s="44">
        <f t="shared" si="64"/>
        <v>277000.01</v>
      </c>
      <c r="F55" s="44">
        <f t="shared" si="54"/>
        <v>-158524.44</v>
      </c>
      <c r="G55" s="44"/>
      <c r="H55" s="45">
        <f t="shared" si="55"/>
        <v>-57.229037645161092</v>
      </c>
      <c r="I55" s="46">
        <f>SUM(I54)</f>
        <v>281503.73</v>
      </c>
      <c r="J55" s="44">
        <f t="shared" si="56"/>
        <v>-154020.72000000003</v>
      </c>
      <c r="K55" s="44"/>
      <c r="L55" s="44">
        <f t="shared" si="57"/>
        <v>-54.713562765225191</v>
      </c>
      <c r="M55" s="43">
        <f t="shared" ref="M55:N55" si="65">SUM(M54)</f>
        <v>435524.45</v>
      </c>
      <c r="N55" s="44">
        <f t="shared" si="65"/>
        <v>277000.01</v>
      </c>
      <c r="O55" s="44">
        <f t="shared" si="58"/>
        <v>-158524.44</v>
      </c>
      <c r="P55" s="44"/>
      <c r="Q55" s="44">
        <f t="shared" si="59"/>
        <v>-57.229037645161092</v>
      </c>
      <c r="R55" s="46">
        <f>SUM(R54)</f>
        <v>281503.73</v>
      </c>
      <c r="S55" s="44">
        <f t="shared" si="60"/>
        <v>-154020.72000000003</v>
      </c>
      <c r="T55" s="47"/>
      <c r="U55" s="47">
        <f t="shared" si="61"/>
        <v>-54.713562765225191</v>
      </c>
    </row>
    <row r="56" spans="1:21" hidden="1" outlineLevel="2">
      <c r="A56" s="22"/>
      <c r="B56" s="28">
        <v>5000</v>
      </c>
      <c r="C56" s="29" t="s">
        <v>84</v>
      </c>
      <c r="D56" s="5">
        <f>N(9938101.85)</f>
        <v>9938101.8499999996</v>
      </c>
      <c r="E56" s="30">
        <f>N(12685927.863045)</f>
        <v>12685927.863045</v>
      </c>
      <c r="F56" s="30">
        <f t="shared" si="54"/>
        <v>2747826.0130449999</v>
      </c>
      <c r="G56" s="30"/>
      <c r="H56" s="31">
        <f t="shared" si="55"/>
        <v>21.660425967339844</v>
      </c>
      <c r="I56" s="32">
        <f>N(9071820.36)</f>
        <v>9071820.3599999994</v>
      </c>
      <c r="J56" s="30">
        <f t="shared" si="56"/>
        <v>-866281.49000000022</v>
      </c>
      <c r="K56" s="30"/>
      <c r="L56" s="30">
        <f t="shared" si="57"/>
        <v>-9.5491473113782028</v>
      </c>
      <c r="M56" s="5">
        <f>N(9938101.85)</f>
        <v>9938101.8499999996</v>
      </c>
      <c r="N56" s="30">
        <f>N(12685927.863045)</f>
        <v>12685927.863045</v>
      </c>
      <c r="O56" s="30">
        <f t="shared" si="58"/>
        <v>2747826.0130449999</v>
      </c>
      <c r="P56" s="30"/>
      <c r="Q56" s="30">
        <f t="shared" si="59"/>
        <v>21.660425967339844</v>
      </c>
      <c r="R56" s="32">
        <f>N(9071820.36)</f>
        <v>9071820.3599999994</v>
      </c>
      <c r="S56" s="33">
        <f t="shared" si="60"/>
        <v>-866281.49000000022</v>
      </c>
      <c r="T56" s="34"/>
      <c r="U56" s="34">
        <f t="shared" si="61"/>
        <v>-9.5491473113782028</v>
      </c>
    </row>
    <row r="57" spans="1:21" hidden="1" outlineLevel="2">
      <c r="A57" s="22"/>
      <c r="B57" s="28">
        <v>5001</v>
      </c>
      <c r="C57" s="29" t="s">
        <v>85</v>
      </c>
      <c r="D57" s="5">
        <f>N(43560)</f>
        <v>43560</v>
      </c>
      <c r="E57" s="30">
        <f>N(0)</f>
        <v>0</v>
      </c>
      <c r="F57" s="30">
        <f t="shared" si="54"/>
        <v>-43560</v>
      </c>
      <c r="G57" s="30"/>
      <c r="H57" s="31">
        <f t="shared" si="55"/>
        <v>0</v>
      </c>
      <c r="I57" s="32">
        <f>N(108190.75)</f>
        <v>108190.75</v>
      </c>
      <c r="J57" s="30">
        <f t="shared" si="56"/>
        <v>64630.75</v>
      </c>
      <c r="K57" s="30"/>
      <c r="L57" s="30">
        <f t="shared" si="57"/>
        <v>59.737777952366535</v>
      </c>
      <c r="M57" s="5">
        <f>N(43560)</f>
        <v>43560</v>
      </c>
      <c r="N57" s="30">
        <f>N(0)</f>
        <v>0</v>
      </c>
      <c r="O57" s="30">
        <f t="shared" si="58"/>
        <v>-43560</v>
      </c>
      <c r="P57" s="30"/>
      <c r="Q57" s="30">
        <f t="shared" si="59"/>
        <v>0</v>
      </c>
      <c r="R57" s="32">
        <f>N(108190.75)</f>
        <v>108190.75</v>
      </c>
      <c r="S57" s="33">
        <f t="shared" si="60"/>
        <v>64630.75</v>
      </c>
      <c r="T57" s="34"/>
      <c r="U57" s="34">
        <f t="shared" si="61"/>
        <v>59.737777952366535</v>
      </c>
    </row>
    <row r="58" spans="1:21" hidden="1" outlineLevel="2">
      <c r="A58" s="22"/>
      <c r="B58" s="28">
        <v>5002</v>
      </c>
      <c r="C58" s="29" t="s">
        <v>86</v>
      </c>
      <c r="D58" s="5">
        <f>N(3111652.59)</f>
        <v>3111652.59</v>
      </c>
      <c r="E58" s="30">
        <f>N(2731149.216346)</f>
        <v>2731149.2163459999</v>
      </c>
      <c r="F58" s="30">
        <f t="shared" si="54"/>
        <v>-380503.373654</v>
      </c>
      <c r="G58" s="30"/>
      <c r="H58" s="31">
        <f t="shared" si="55"/>
        <v>-13.931987727974631</v>
      </c>
      <c r="I58" s="32">
        <f>N(2464402)</f>
        <v>2464402</v>
      </c>
      <c r="J58" s="30">
        <f t="shared" si="56"/>
        <v>-647250.58999999985</v>
      </c>
      <c r="K58" s="30"/>
      <c r="L58" s="30">
        <f t="shared" si="57"/>
        <v>-26.264001976950183</v>
      </c>
      <c r="M58" s="5">
        <f>N(3111652.59)</f>
        <v>3111652.59</v>
      </c>
      <c r="N58" s="30">
        <f>N(2731149.216346)</f>
        <v>2731149.2163459999</v>
      </c>
      <c r="O58" s="30">
        <f t="shared" si="58"/>
        <v>-380503.373654</v>
      </c>
      <c r="P58" s="30"/>
      <c r="Q58" s="30">
        <f t="shared" si="59"/>
        <v>-13.931987727974631</v>
      </c>
      <c r="R58" s="32">
        <f>N(2464402)</f>
        <v>2464402</v>
      </c>
      <c r="S58" s="33">
        <f t="shared" si="60"/>
        <v>-647250.58999999985</v>
      </c>
      <c r="T58" s="34"/>
      <c r="U58" s="34">
        <f t="shared" si="61"/>
        <v>-26.264001976950183</v>
      </c>
    </row>
    <row r="59" spans="1:21" hidden="1" outlineLevel="2">
      <c r="A59" s="22"/>
      <c r="B59" s="28">
        <v>5005</v>
      </c>
      <c r="C59" s="29" t="s">
        <v>87</v>
      </c>
      <c r="D59" s="5">
        <f t="shared" ref="D59:E59" si="66">N(0)</f>
        <v>0</v>
      </c>
      <c r="E59" s="30">
        <f t="shared" si="66"/>
        <v>0</v>
      </c>
      <c r="F59" s="30">
        <f t="shared" si="54"/>
        <v>0</v>
      </c>
      <c r="G59" s="30"/>
      <c r="H59" s="31">
        <f t="shared" si="55"/>
        <v>0</v>
      </c>
      <c r="I59" s="32">
        <f>N(0)</f>
        <v>0</v>
      </c>
      <c r="J59" s="30">
        <f t="shared" si="56"/>
        <v>0</v>
      </c>
      <c r="K59" s="30"/>
      <c r="L59" s="30">
        <f t="shared" si="57"/>
        <v>0</v>
      </c>
      <c r="M59" s="5">
        <f t="shared" ref="M59:N59" si="67">N(0)</f>
        <v>0</v>
      </c>
      <c r="N59" s="30">
        <f t="shared" si="67"/>
        <v>0</v>
      </c>
      <c r="O59" s="30">
        <f t="shared" si="58"/>
        <v>0</v>
      </c>
      <c r="P59" s="30"/>
      <c r="Q59" s="30">
        <f t="shared" si="59"/>
        <v>0</v>
      </c>
      <c r="R59" s="32">
        <f>N(0)</f>
        <v>0</v>
      </c>
      <c r="S59" s="33">
        <f t="shared" si="60"/>
        <v>0</v>
      </c>
      <c r="T59" s="34"/>
      <c r="U59" s="34">
        <f t="shared" si="61"/>
        <v>0</v>
      </c>
    </row>
    <row r="60" spans="1:21" hidden="1" outlineLevel="2">
      <c r="A60" s="22"/>
      <c r="B60" s="28">
        <v>5007</v>
      </c>
      <c r="C60" s="29" t="s">
        <v>89</v>
      </c>
      <c r="D60" s="5">
        <f>N(14520.66)</f>
        <v>14520.66</v>
      </c>
      <c r="E60" s="30">
        <f>N(-12516)</f>
        <v>-12516</v>
      </c>
      <c r="F60" s="30">
        <f t="shared" si="54"/>
        <v>-27036.66</v>
      </c>
      <c r="G60" s="30"/>
      <c r="H60" s="31">
        <f t="shared" si="55"/>
        <v>216.01677852348993</v>
      </c>
      <c r="I60" s="32">
        <f>N(80240)</f>
        <v>80240</v>
      </c>
      <c r="J60" s="30">
        <f t="shared" si="56"/>
        <v>65719.34</v>
      </c>
      <c r="K60" s="30"/>
      <c r="L60" s="30">
        <f t="shared" si="57"/>
        <v>81.903464606181458</v>
      </c>
      <c r="M60" s="5">
        <f>N(14520.66)</f>
        <v>14520.66</v>
      </c>
      <c r="N60" s="30">
        <f>N(-12516)</f>
        <v>-12516</v>
      </c>
      <c r="O60" s="30">
        <f t="shared" si="58"/>
        <v>-27036.66</v>
      </c>
      <c r="P60" s="30"/>
      <c r="Q60" s="30">
        <f t="shared" si="59"/>
        <v>216.01677852348993</v>
      </c>
      <c r="R60" s="32">
        <f>N(80240)</f>
        <v>80240</v>
      </c>
      <c r="S60" s="33">
        <f t="shared" si="60"/>
        <v>65719.34</v>
      </c>
      <c r="T60" s="34"/>
      <c r="U60" s="34">
        <f t="shared" si="61"/>
        <v>81.903464606181458</v>
      </c>
    </row>
    <row r="61" spans="1:21" hidden="1" outlineLevel="2">
      <c r="A61" s="22"/>
      <c r="B61" s="28">
        <v>5009</v>
      </c>
      <c r="C61" s="29" t="s">
        <v>91</v>
      </c>
      <c r="D61" s="5">
        <f t="shared" ref="D61:E61" si="68">N(0)</f>
        <v>0</v>
      </c>
      <c r="E61" s="30">
        <f t="shared" si="68"/>
        <v>0</v>
      </c>
      <c r="F61" s="30">
        <f t="shared" si="54"/>
        <v>0</v>
      </c>
      <c r="G61" s="30"/>
      <c r="H61" s="31">
        <f t="shared" si="55"/>
        <v>0</v>
      </c>
      <c r="I61" s="32">
        <f>N(122600)</f>
        <v>122600</v>
      </c>
      <c r="J61" s="30">
        <f t="shared" si="56"/>
        <v>122600</v>
      </c>
      <c r="K61" s="30"/>
      <c r="L61" s="30">
        <f t="shared" si="57"/>
        <v>100</v>
      </c>
      <c r="M61" s="5">
        <f t="shared" ref="M61:N61" si="69">N(0)</f>
        <v>0</v>
      </c>
      <c r="N61" s="30">
        <f t="shared" si="69"/>
        <v>0</v>
      </c>
      <c r="O61" s="30">
        <f t="shared" si="58"/>
        <v>0</v>
      </c>
      <c r="P61" s="30"/>
      <c r="Q61" s="30">
        <f t="shared" si="59"/>
        <v>0</v>
      </c>
      <c r="R61" s="32">
        <f>N(122600)</f>
        <v>122600</v>
      </c>
      <c r="S61" s="33">
        <f t="shared" si="60"/>
        <v>122600</v>
      </c>
      <c r="T61" s="34"/>
      <c r="U61" s="34">
        <f t="shared" si="61"/>
        <v>100</v>
      </c>
    </row>
    <row r="62" spans="1:21" hidden="1" outlineLevel="2">
      <c r="A62" s="22"/>
      <c r="B62" s="28">
        <v>5010</v>
      </c>
      <c r="C62" s="29" t="s">
        <v>92</v>
      </c>
      <c r="D62" s="5">
        <f>N(1675901.2)</f>
        <v>1675901.2</v>
      </c>
      <c r="E62" s="30">
        <f>N(1900598.167852)</f>
        <v>1900598.1678520001</v>
      </c>
      <c r="F62" s="30">
        <f t="shared" si="54"/>
        <v>224696.96785200015</v>
      </c>
      <c r="G62" s="30"/>
      <c r="H62" s="31">
        <f t="shared" si="55"/>
        <v>11.822434202698723</v>
      </c>
      <c r="I62" s="32">
        <f>N(1531482)</f>
        <v>1531482</v>
      </c>
      <c r="J62" s="30">
        <f t="shared" si="56"/>
        <v>-144419.19999999995</v>
      </c>
      <c r="K62" s="30"/>
      <c r="L62" s="30">
        <f t="shared" si="57"/>
        <v>-9.4300292135330324</v>
      </c>
      <c r="M62" s="5">
        <f>N(1675901.2)</f>
        <v>1675901.2</v>
      </c>
      <c r="N62" s="30">
        <f>N(1900598.167852)</f>
        <v>1900598.1678520001</v>
      </c>
      <c r="O62" s="30">
        <f t="shared" si="58"/>
        <v>224696.96785200015</v>
      </c>
      <c r="P62" s="30"/>
      <c r="Q62" s="30">
        <f t="shared" si="59"/>
        <v>11.822434202698723</v>
      </c>
      <c r="R62" s="32">
        <f>N(1531482)</f>
        <v>1531482</v>
      </c>
      <c r="S62" s="33">
        <f t="shared" si="60"/>
        <v>-144419.19999999995</v>
      </c>
      <c r="T62" s="34"/>
      <c r="U62" s="34">
        <f t="shared" si="61"/>
        <v>-9.4300292135330324</v>
      </c>
    </row>
    <row r="63" spans="1:21" hidden="1" outlineLevel="2">
      <c r="A63" s="22"/>
      <c r="B63" s="28">
        <v>5021</v>
      </c>
      <c r="C63" s="29" t="s">
        <v>93</v>
      </c>
      <c r="D63" s="5">
        <f>N(97154.81)</f>
        <v>97154.81</v>
      </c>
      <c r="E63" s="30">
        <f>N(200000)</f>
        <v>200000</v>
      </c>
      <c r="F63" s="30">
        <f t="shared" si="54"/>
        <v>102845.19</v>
      </c>
      <c r="G63" s="30"/>
      <c r="H63" s="31">
        <f t="shared" si="55"/>
        <v>51.422595000000001</v>
      </c>
      <c r="I63" s="32">
        <f>N(117144)</f>
        <v>117144</v>
      </c>
      <c r="J63" s="30">
        <f t="shared" si="56"/>
        <v>19989.190000000002</v>
      </c>
      <c r="K63" s="30"/>
      <c r="L63" s="30">
        <f t="shared" si="57"/>
        <v>17.063776207061398</v>
      </c>
      <c r="M63" s="5">
        <f>N(97154.81)</f>
        <v>97154.81</v>
      </c>
      <c r="N63" s="30">
        <f>N(200000)</f>
        <v>200000</v>
      </c>
      <c r="O63" s="30">
        <f t="shared" si="58"/>
        <v>102845.19</v>
      </c>
      <c r="P63" s="30"/>
      <c r="Q63" s="30">
        <f t="shared" si="59"/>
        <v>51.422595000000001</v>
      </c>
      <c r="R63" s="32">
        <f>N(117144)</f>
        <v>117144</v>
      </c>
      <c r="S63" s="33">
        <f t="shared" si="60"/>
        <v>19989.190000000002</v>
      </c>
      <c r="T63" s="34"/>
      <c r="U63" s="34">
        <f t="shared" si="61"/>
        <v>17.063776207061398</v>
      </c>
    </row>
    <row r="64" spans="1:21" hidden="1" outlineLevel="2">
      <c r="A64" s="22"/>
      <c r="B64" s="28">
        <v>5110</v>
      </c>
      <c r="C64" s="29" t="s">
        <v>94</v>
      </c>
      <c r="D64" s="5">
        <f>N(2300)</f>
        <v>2300</v>
      </c>
      <c r="E64" s="30">
        <f t="shared" ref="E64:E67" si="70">N(0)</f>
        <v>0</v>
      </c>
      <c r="F64" s="30">
        <f t="shared" si="54"/>
        <v>-2300</v>
      </c>
      <c r="G64" s="30"/>
      <c r="H64" s="31">
        <f t="shared" si="55"/>
        <v>0</v>
      </c>
      <c r="I64" s="32">
        <f>N(0)</f>
        <v>0</v>
      </c>
      <c r="J64" s="30">
        <f t="shared" si="56"/>
        <v>-2300</v>
      </c>
      <c r="K64" s="30"/>
      <c r="L64" s="30">
        <f t="shared" si="57"/>
        <v>0</v>
      </c>
      <c r="M64" s="5">
        <f>N(2300)</f>
        <v>2300</v>
      </c>
      <c r="N64" s="30">
        <f t="shared" ref="N64:N67" si="71">N(0)</f>
        <v>0</v>
      </c>
      <c r="O64" s="30">
        <f t="shared" si="58"/>
        <v>-2300</v>
      </c>
      <c r="P64" s="30"/>
      <c r="Q64" s="30">
        <f t="shared" si="59"/>
        <v>0</v>
      </c>
      <c r="R64" s="32">
        <f>N(0)</f>
        <v>0</v>
      </c>
      <c r="S64" s="33">
        <f t="shared" si="60"/>
        <v>-2300</v>
      </c>
      <c r="T64" s="34"/>
      <c r="U64" s="34">
        <f t="shared" si="61"/>
        <v>0</v>
      </c>
    </row>
    <row r="65" spans="1:21" hidden="1" outlineLevel="2">
      <c r="A65" s="22"/>
      <c r="B65" s="28">
        <v>5111</v>
      </c>
      <c r="C65" s="29" t="s">
        <v>95</v>
      </c>
      <c r="D65" s="5">
        <f>N(149465.4)</f>
        <v>149465.4</v>
      </c>
      <c r="E65" s="30">
        <f t="shared" si="70"/>
        <v>0</v>
      </c>
      <c r="F65" s="30">
        <f t="shared" si="54"/>
        <v>-149465.4</v>
      </c>
      <c r="G65" s="30"/>
      <c r="H65" s="31">
        <f t="shared" si="55"/>
        <v>0</v>
      </c>
      <c r="I65" s="32">
        <f>N(34342)</f>
        <v>34342</v>
      </c>
      <c r="J65" s="30">
        <f t="shared" si="56"/>
        <v>-115123.4</v>
      </c>
      <c r="K65" s="30"/>
      <c r="L65" s="30">
        <f t="shared" si="57"/>
        <v>-335.22625356706072</v>
      </c>
      <c r="M65" s="5">
        <f>N(149465.4)</f>
        <v>149465.4</v>
      </c>
      <c r="N65" s="30">
        <f t="shared" si="71"/>
        <v>0</v>
      </c>
      <c r="O65" s="30">
        <f t="shared" si="58"/>
        <v>-149465.4</v>
      </c>
      <c r="P65" s="30"/>
      <c r="Q65" s="30">
        <f t="shared" si="59"/>
        <v>0</v>
      </c>
      <c r="R65" s="32">
        <f>N(34342)</f>
        <v>34342</v>
      </c>
      <c r="S65" s="33">
        <f t="shared" si="60"/>
        <v>-115123.4</v>
      </c>
      <c r="T65" s="34"/>
      <c r="U65" s="34">
        <f t="shared" si="61"/>
        <v>-335.22625356706072</v>
      </c>
    </row>
    <row r="66" spans="1:21" hidden="1" outlineLevel="2">
      <c r="A66" s="22"/>
      <c r="B66" s="28">
        <v>5113</v>
      </c>
      <c r="C66" s="29" t="s">
        <v>97</v>
      </c>
      <c r="D66" s="5">
        <f>N(0)</f>
        <v>0</v>
      </c>
      <c r="E66" s="30">
        <f t="shared" si="70"/>
        <v>0</v>
      </c>
      <c r="F66" s="30">
        <f t="shared" si="54"/>
        <v>0</v>
      </c>
      <c r="G66" s="30"/>
      <c r="H66" s="31">
        <f t="shared" si="55"/>
        <v>0</v>
      </c>
      <c r="I66" s="32">
        <f>N(0)</f>
        <v>0</v>
      </c>
      <c r="J66" s="30">
        <f t="shared" si="56"/>
        <v>0</v>
      </c>
      <c r="K66" s="30"/>
      <c r="L66" s="30">
        <f t="shared" si="57"/>
        <v>0</v>
      </c>
      <c r="M66" s="5">
        <f>N(0)</f>
        <v>0</v>
      </c>
      <c r="N66" s="30">
        <f t="shared" si="71"/>
        <v>0</v>
      </c>
      <c r="O66" s="30">
        <f t="shared" si="58"/>
        <v>0</v>
      </c>
      <c r="P66" s="30"/>
      <c r="Q66" s="30">
        <f t="shared" si="59"/>
        <v>0</v>
      </c>
      <c r="R66" s="32">
        <f>N(0)</f>
        <v>0</v>
      </c>
      <c r="S66" s="33">
        <f t="shared" si="60"/>
        <v>0</v>
      </c>
      <c r="T66" s="34"/>
      <c r="U66" s="34">
        <f t="shared" si="61"/>
        <v>0</v>
      </c>
    </row>
    <row r="67" spans="1:21" hidden="1" outlineLevel="2">
      <c r="A67" s="22"/>
      <c r="B67" s="28">
        <v>5190</v>
      </c>
      <c r="C67" s="29" t="s">
        <v>99</v>
      </c>
      <c r="D67" s="5">
        <f>N(380479)</f>
        <v>380479</v>
      </c>
      <c r="E67" s="30">
        <f t="shared" si="70"/>
        <v>0</v>
      </c>
      <c r="F67" s="30">
        <f t="shared" si="54"/>
        <v>-380479</v>
      </c>
      <c r="G67" s="30"/>
      <c r="H67" s="31">
        <f t="shared" si="55"/>
        <v>0</v>
      </c>
      <c r="I67" s="32">
        <f>N(534111)</f>
        <v>534111</v>
      </c>
      <c r="J67" s="30">
        <f t="shared" si="56"/>
        <v>153632</v>
      </c>
      <c r="K67" s="30"/>
      <c r="L67" s="30">
        <f t="shared" si="57"/>
        <v>28.764058407334804</v>
      </c>
      <c r="M67" s="5">
        <f>N(380479)</f>
        <v>380479</v>
      </c>
      <c r="N67" s="30">
        <f t="shared" si="71"/>
        <v>0</v>
      </c>
      <c r="O67" s="30">
        <f t="shared" si="58"/>
        <v>-380479</v>
      </c>
      <c r="P67" s="30"/>
      <c r="Q67" s="30">
        <f t="shared" si="59"/>
        <v>0</v>
      </c>
      <c r="R67" s="32">
        <f>N(534111)</f>
        <v>534111</v>
      </c>
      <c r="S67" s="33">
        <f t="shared" si="60"/>
        <v>153632</v>
      </c>
      <c r="T67" s="34"/>
      <c r="U67" s="34">
        <f t="shared" si="61"/>
        <v>28.764058407334804</v>
      </c>
    </row>
    <row r="68" spans="1:21" hidden="1" outlineLevel="1" collapsed="1">
      <c r="A68" s="22"/>
      <c r="B68" s="35" t="str">
        <f>"    "&amp;"Lønn til ansatte"</f>
        <v xml:space="preserve">    Lønn til ansatte</v>
      </c>
      <c r="C68" s="36"/>
      <c r="D68" s="37">
        <f t="shared" ref="D68:E68" si="72">SUM(D56:D67)</f>
        <v>15413135.51</v>
      </c>
      <c r="E68" s="33">
        <f t="shared" si="72"/>
        <v>17505159.247242998</v>
      </c>
      <c r="F68" s="33">
        <f t="shared" si="54"/>
        <v>2092023.7372429986</v>
      </c>
      <c r="G68" s="33"/>
      <c r="H68" s="38">
        <f t="shared" si="55"/>
        <v>11.95089806208124</v>
      </c>
      <c r="I68" s="39">
        <f>SUM(I56:I67)</f>
        <v>14064332.109999999</v>
      </c>
      <c r="J68" s="33">
        <f t="shared" si="56"/>
        <v>-1348803.4000000004</v>
      </c>
      <c r="K68" s="33"/>
      <c r="L68" s="33">
        <f t="shared" si="57"/>
        <v>-9.5902413954017494</v>
      </c>
      <c r="M68" s="37">
        <f t="shared" ref="M68:N68" si="73">SUM(M56:M67)</f>
        <v>15413135.51</v>
      </c>
      <c r="N68" s="33">
        <f t="shared" si="73"/>
        <v>17505159.247242998</v>
      </c>
      <c r="O68" s="33">
        <f t="shared" si="58"/>
        <v>2092023.7372429986</v>
      </c>
      <c r="P68" s="33"/>
      <c r="Q68" s="33">
        <f t="shared" si="59"/>
        <v>11.95089806208124</v>
      </c>
      <c r="R68" s="39">
        <f>SUM(R56:R67)</f>
        <v>14064332.109999999</v>
      </c>
      <c r="S68" s="33">
        <f t="shared" si="60"/>
        <v>-1348803.4000000004</v>
      </c>
      <c r="T68" s="34"/>
      <c r="U68" s="34">
        <f t="shared" si="61"/>
        <v>-9.5902413954017494</v>
      </c>
    </row>
    <row r="69" spans="1:21" hidden="1" outlineLevel="2">
      <c r="A69" s="22"/>
      <c r="B69" s="28">
        <v>5210</v>
      </c>
      <c r="C69" s="29" t="s">
        <v>100</v>
      </c>
      <c r="D69" s="5">
        <f>N(51606)</f>
        <v>51606</v>
      </c>
      <c r="E69" s="30">
        <f>N(61488)</f>
        <v>61488</v>
      </c>
      <c r="F69" s="30">
        <f t="shared" si="54"/>
        <v>9882</v>
      </c>
      <c r="G69" s="30"/>
      <c r="H69" s="31">
        <f t="shared" si="55"/>
        <v>16.071428571428573</v>
      </c>
      <c r="I69" s="32">
        <f>N(49107)</f>
        <v>49107</v>
      </c>
      <c r="J69" s="30">
        <f t="shared" si="56"/>
        <v>-2499</v>
      </c>
      <c r="K69" s="30"/>
      <c r="L69" s="30">
        <f t="shared" si="57"/>
        <v>-5.0888875313091821</v>
      </c>
      <c r="M69" s="5">
        <f>N(51606)</f>
        <v>51606</v>
      </c>
      <c r="N69" s="30">
        <f>N(61488)</f>
        <v>61488</v>
      </c>
      <c r="O69" s="30">
        <f t="shared" si="58"/>
        <v>9882</v>
      </c>
      <c r="P69" s="30"/>
      <c r="Q69" s="30">
        <f t="shared" si="59"/>
        <v>16.071428571428573</v>
      </c>
      <c r="R69" s="32">
        <f>N(49107)</f>
        <v>49107</v>
      </c>
      <c r="S69" s="33">
        <f t="shared" si="60"/>
        <v>-2499</v>
      </c>
      <c r="T69" s="34"/>
      <c r="U69" s="34">
        <f t="shared" si="61"/>
        <v>-5.0888875313091821</v>
      </c>
    </row>
    <row r="70" spans="1:21" hidden="1" outlineLevel="2">
      <c r="A70" s="22"/>
      <c r="B70" s="28">
        <v>5250</v>
      </c>
      <c r="C70" s="29" t="s">
        <v>102</v>
      </c>
      <c r="D70" s="5">
        <f t="shared" ref="D70:E77" si="74">N(0)</f>
        <v>0</v>
      </c>
      <c r="E70" s="30">
        <f>N(0)</f>
        <v>0</v>
      </c>
      <c r="F70" s="30">
        <f t="shared" si="54"/>
        <v>0</v>
      </c>
      <c r="G70" s="30"/>
      <c r="H70" s="31">
        <f t="shared" si="55"/>
        <v>0</v>
      </c>
      <c r="I70" s="32">
        <f t="shared" ref="I70:I74" si="75">N(0)</f>
        <v>0</v>
      </c>
      <c r="J70" s="30">
        <f t="shared" si="56"/>
        <v>0</v>
      </c>
      <c r="K70" s="30"/>
      <c r="L70" s="30">
        <f t="shared" si="57"/>
        <v>0</v>
      </c>
      <c r="M70" s="5">
        <f t="shared" ref="M70:N77" si="76">N(0)</f>
        <v>0</v>
      </c>
      <c r="N70" s="30">
        <f>N(0)</f>
        <v>0</v>
      </c>
      <c r="O70" s="30">
        <f t="shared" si="58"/>
        <v>0</v>
      </c>
      <c r="P70" s="30"/>
      <c r="Q70" s="30">
        <f t="shared" si="59"/>
        <v>0</v>
      </c>
      <c r="R70" s="32">
        <f t="shared" ref="R70:R74" si="77">N(0)</f>
        <v>0</v>
      </c>
      <c r="S70" s="33">
        <f t="shared" si="60"/>
        <v>0</v>
      </c>
      <c r="T70" s="34"/>
      <c r="U70" s="34">
        <f t="shared" si="61"/>
        <v>0</v>
      </c>
    </row>
    <row r="71" spans="1:21" hidden="1" outlineLevel="2">
      <c r="A71" s="22"/>
      <c r="B71" s="28">
        <v>5251</v>
      </c>
      <c r="C71" s="29" t="s">
        <v>103</v>
      </c>
      <c r="D71" s="5">
        <f t="shared" si="74"/>
        <v>0</v>
      </c>
      <c r="E71" s="30">
        <f>N(199974.84)</f>
        <v>199974.84</v>
      </c>
      <c r="F71" s="30">
        <f t="shared" si="54"/>
        <v>199974.84</v>
      </c>
      <c r="G71" s="30"/>
      <c r="H71" s="31">
        <f t="shared" si="55"/>
        <v>100</v>
      </c>
      <c r="I71" s="32">
        <f t="shared" si="75"/>
        <v>0</v>
      </c>
      <c r="J71" s="30">
        <f t="shared" si="56"/>
        <v>0</v>
      </c>
      <c r="K71" s="30"/>
      <c r="L71" s="30">
        <f t="shared" si="57"/>
        <v>0</v>
      </c>
      <c r="M71" s="5">
        <f t="shared" si="76"/>
        <v>0</v>
      </c>
      <c r="N71" s="30">
        <f>N(199974.84)</f>
        <v>199974.84</v>
      </c>
      <c r="O71" s="30">
        <f t="shared" si="58"/>
        <v>199974.84</v>
      </c>
      <c r="P71" s="30"/>
      <c r="Q71" s="30">
        <f t="shared" si="59"/>
        <v>100</v>
      </c>
      <c r="R71" s="32">
        <f t="shared" si="77"/>
        <v>0</v>
      </c>
      <c r="S71" s="33">
        <f t="shared" si="60"/>
        <v>0</v>
      </c>
      <c r="T71" s="34"/>
      <c r="U71" s="34">
        <f t="shared" si="61"/>
        <v>0</v>
      </c>
    </row>
    <row r="72" spans="1:21" hidden="1" outlineLevel="2">
      <c r="A72" s="22"/>
      <c r="B72" s="28">
        <v>5252</v>
      </c>
      <c r="C72" s="29" t="s">
        <v>104</v>
      </c>
      <c r="D72" s="5">
        <f t="shared" si="74"/>
        <v>0</v>
      </c>
      <c r="E72" s="30">
        <f t="shared" si="74"/>
        <v>0</v>
      </c>
      <c r="F72" s="30">
        <f t="shared" si="54"/>
        <v>0</v>
      </c>
      <c r="G72" s="30"/>
      <c r="H72" s="31">
        <f t="shared" si="55"/>
        <v>0</v>
      </c>
      <c r="I72" s="32">
        <f t="shared" si="75"/>
        <v>0</v>
      </c>
      <c r="J72" s="30">
        <f t="shared" si="56"/>
        <v>0</v>
      </c>
      <c r="K72" s="30"/>
      <c r="L72" s="30">
        <f t="shared" si="57"/>
        <v>0</v>
      </c>
      <c r="M72" s="5">
        <f t="shared" si="76"/>
        <v>0</v>
      </c>
      <c r="N72" s="30">
        <f t="shared" si="76"/>
        <v>0</v>
      </c>
      <c r="O72" s="30">
        <f t="shared" si="58"/>
        <v>0</v>
      </c>
      <c r="P72" s="30"/>
      <c r="Q72" s="30">
        <f t="shared" si="59"/>
        <v>0</v>
      </c>
      <c r="R72" s="32">
        <f t="shared" si="77"/>
        <v>0</v>
      </c>
      <c r="S72" s="33">
        <f t="shared" si="60"/>
        <v>0</v>
      </c>
      <c r="T72" s="34"/>
      <c r="U72" s="34">
        <f t="shared" si="61"/>
        <v>0</v>
      </c>
    </row>
    <row r="73" spans="1:21" hidden="1" outlineLevel="2">
      <c r="A73" s="22"/>
      <c r="B73" s="28">
        <v>5253</v>
      </c>
      <c r="C73" s="29" t="s">
        <v>105</v>
      </c>
      <c r="D73" s="5">
        <f t="shared" si="74"/>
        <v>0</v>
      </c>
      <c r="E73" s="30">
        <f t="shared" si="74"/>
        <v>0</v>
      </c>
      <c r="F73" s="30">
        <f t="shared" si="54"/>
        <v>0</v>
      </c>
      <c r="G73" s="30"/>
      <c r="H73" s="31">
        <f t="shared" si="55"/>
        <v>0</v>
      </c>
      <c r="I73" s="32">
        <f t="shared" si="75"/>
        <v>0</v>
      </c>
      <c r="J73" s="30">
        <f t="shared" si="56"/>
        <v>0</v>
      </c>
      <c r="K73" s="30"/>
      <c r="L73" s="30">
        <f t="shared" si="57"/>
        <v>0</v>
      </c>
      <c r="M73" s="5">
        <f t="shared" si="76"/>
        <v>0</v>
      </c>
      <c r="N73" s="30">
        <f t="shared" si="76"/>
        <v>0</v>
      </c>
      <c r="O73" s="30">
        <f t="shared" si="58"/>
        <v>0</v>
      </c>
      <c r="P73" s="30"/>
      <c r="Q73" s="30">
        <f t="shared" si="59"/>
        <v>0</v>
      </c>
      <c r="R73" s="32">
        <f t="shared" si="77"/>
        <v>0</v>
      </c>
      <c r="S73" s="33">
        <f t="shared" si="60"/>
        <v>0</v>
      </c>
      <c r="T73" s="34"/>
      <c r="U73" s="34">
        <f t="shared" si="61"/>
        <v>0</v>
      </c>
    </row>
    <row r="74" spans="1:21" hidden="1" outlineLevel="2">
      <c r="A74" s="22"/>
      <c r="B74" s="28">
        <v>5254</v>
      </c>
      <c r="C74" s="29" t="s">
        <v>106</v>
      </c>
      <c r="D74" s="5">
        <f t="shared" si="74"/>
        <v>0</v>
      </c>
      <c r="E74" s="30">
        <f t="shared" si="74"/>
        <v>0</v>
      </c>
      <c r="F74" s="30">
        <f t="shared" si="54"/>
        <v>0</v>
      </c>
      <c r="G74" s="30"/>
      <c r="H74" s="31">
        <f t="shared" si="55"/>
        <v>0</v>
      </c>
      <c r="I74" s="32">
        <f t="shared" si="75"/>
        <v>0</v>
      </c>
      <c r="J74" s="30">
        <f t="shared" si="56"/>
        <v>0</v>
      </c>
      <c r="K74" s="30"/>
      <c r="L74" s="30">
        <f t="shared" si="57"/>
        <v>0</v>
      </c>
      <c r="M74" s="5">
        <f t="shared" si="76"/>
        <v>0</v>
      </c>
      <c r="N74" s="30">
        <f t="shared" si="76"/>
        <v>0</v>
      </c>
      <c r="O74" s="30">
        <f t="shared" si="58"/>
        <v>0</v>
      </c>
      <c r="P74" s="30"/>
      <c r="Q74" s="30">
        <f t="shared" si="59"/>
        <v>0</v>
      </c>
      <c r="R74" s="32">
        <f t="shared" si="77"/>
        <v>0</v>
      </c>
      <c r="S74" s="33">
        <f t="shared" si="60"/>
        <v>0</v>
      </c>
      <c r="T74" s="34"/>
      <c r="U74" s="34">
        <f t="shared" si="61"/>
        <v>0</v>
      </c>
    </row>
    <row r="75" spans="1:21" hidden="1" outlineLevel="2">
      <c r="A75" s="22"/>
      <c r="B75" s="28">
        <v>5281</v>
      </c>
      <c r="C75" s="29" t="s">
        <v>107</v>
      </c>
      <c r="D75" s="5">
        <f>N(7976)</f>
        <v>7976</v>
      </c>
      <c r="E75" s="30">
        <f t="shared" si="74"/>
        <v>0</v>
      </c>
      <c r="F75" s="30">
        <f t="shared" si="54"/>
        <v>-7976</v>
      </c>
      <c r="G75" s="30"/>
      <c r="H75" s="31">
        <f t="shared" si="55"/>
        <v>0</v>
      </c>
      <c r="I75" s="32">
        <f>N(3275.25)</f>
        <v>3275.25</v>
      </c>
      <c r="J75" s="30">
        <f t="shared" si="56"/>
        <v>-4700.75</v>
      </c>
      <c r="K75" s="30"/>
      <c r="L75" s="30">
        <f t="shared" si="57"/>
        <v>-143.52339516067477</v>
      </c>
      <c r="M75" s="5">
        <f>N(7976)</f>
        <v>7976</v>
      </c>
      <c r="N75" s="30">
        <f t="shared" si="76"/>
        <v>0</v>
      </c>
      <c r="O75" s="30">
        <f t="shared" si="58"/>
        <v>-7976</v>
      </c>
      <c r="P75" s="30"/>
      <c r="Q75" s="30">
        <f t="shared" si="59"/>
        <v>0</v>
      </c>
      <c r="R75" s="32">
        <f>N(3275.25)</f>
        <v>3275.25</v>
      </c>
      <c r="S75" s="33">
        <f t="shared" si="60"/>
        <v>-4700.75</v>
      </c>
      <c r="T75" s="34"/>
      <c r="U75" s="34">
        <f t="shared" si="61"/>
        <v>-143.52339516067477</v>
      </c>
    </row>
    <row r="76" spans="1:21" hidden="1" outlineLevel="2">
      <c r="A76" s="22"/>
      <c r="B76" s="28">
        <v>5285</v>
      </c>
      <c r="C76" s="29" t="s">
        <v>108</v>
      </c>
      <c r="D76" s="5">
        <f>N(77913)</f>
        <v>77913</v>
      </c>
      <c r="E76" s="30">
        <f t="shared" si="74"/>
        <v>0</v>
      </c>
      <c r="F76" s="30">
        <f t="shared" si="54"/>
        <v>-77913</v>
      </c>
      <c r="G76" s="30"/>
      <c r="H76" s="31">
        <f t="shared" si="55"/>
        <v>0</v>
      </c>
      <c r="I76" s="32">
        <f t="shared" ref="I76:I77" si="78">N(0)</f>
        <v>0</v>
      </c>
      <c r="J76" s="30">
        <f t="shared" si="56"/>
        <v>-77913</v>
      </c>
      <c r="K76" s="30"/>
      <c r="L76" s="30">
        <f t="shared" si="57"/>
        <v>0</v>
      </c>
      <c r="M76" s="5">
        <f>N(77913)</f>
        <v>77913</v>
      </c>
      <c r="N76" s="30">
        <f t="shared" si="76"/>
        <v>0</v>
      </c>
      <c r="O76" s="30">
        <f t="shared" si="58"/>
        <v>-77913</v>
      </c>
      <c r="P76" s="30"/>
      <c r="Q76" s="30">
        <f t="shared" si="59"/>
        <v>0</v>
      </c>
      <c r="R76" s="32">
        <f t="shared" ref="R76:R77" si="79">N(0)</f>
        <v>0</v>
      </c>
      <c r="S76" s="33">
        <f t="shared" si="60"/>
        <v>-77913</v>
      </c>
      <c r="T76" s="34"/>
      <c r="U76" s="34">
        <f t="shared" si="61"/>
        <v>0</v>
      </c>
    </row>
    <row r="77" spans="1:21" hidden="1" outlineLevel="2">
      <c r="A77" s="22"/>
      <c r="B77" s="28">
        <v>5286</v>
      </c>
      <c r="C77" s="29" t="s">
        <v>109</v>
      </c>
      <c r="D77" s="5">
        <f>N(0)</f>
        <v>0</v>
      </c>
      <c r="E77" s="30">
        <f t="shared" si="74"/>
        <v>0</v>
      </c>
      <c r="F77" s="30">
        <f t="shared" si="54"/>
        <v>0</v>
      </c>
      <c r="G77" s="30"/>
      <c r="H77" s="31">
        <f t="shared" si="55"/>
        <v>0</v>
      </c>
      <c r="I77" s="32">
        <f t="shared" si="78"/>
        <v>0</v>
      </c>
      <c r="J77" s="30">
        <f t="shared" si="56"/>
        <v>0</v>
      </c>
      <c r="K77" s="30"/>
      <c r="L77" s="30">
        <f t="shared" si="57"/>
        <v>0</v>
      </c>
      <c r="M77" s="5">
        <f>N(0)</f>
        <v>0</v>
      </c>
      <c r="N77" s="30">
        <f t="shared" si="76"/>
        <v>0</v>
      </c>
      <c r="O77" s="30">
        <f t="shared" si="58"/>
        <v>0</v>
      </c>
      <c r="P77" s="30"/>
      <c r="Q77" s="30">
        <f t="shared" si="59"/>
        <v>0</v>
      </c>
      <c r="R77" s="32">
        <f t="shared" si="79"/>
        <v>0</v>
      </c>
      <c r="S77" s="33">
        <f t="shared" si="60"/>
        <v>0</v>
      </c>
      <c r="T77" s="34"/>
      <c r="U77" s="34">
        <f t="shared" si="61"/>
        <v>0</v>
      </c>
    </row>
    <row r="78" spans="1:21" hidden="1" outlineLevel="2">
      <c r="A78" s="22"/>
      <c r="B78" s="28">
        <v>5290</v>
      </c>
      <c r="C78" s="29" t="s">
        <v>110</v>
      </c>
      <c r="D78" s="5">
        <f>N(-573625.2)</f>
        <v>-573625.19999999995</v>
      </c>
      <c r="E78" s="30">
        <f>N(-261462.84)</f>
        <v>-261462.84</v>
      </c>
      <c r="F78" s="30">
        <f t="shared" si="54"/>
        <v>312162.36</v>
      </c>
      <c r="G78" s="30"/>
      <c r="H78" s="31">
        <f t="shared" si="55"/>
        <v>-119.39071724303156</v>
      </c>
      <c r="I78" s="32">
        <f>N(-52382.25)</f>
        <v>-52382.25</v>
      </c>
      <c r="J78" s="30">
        <f t="shared" si="56"/>
        <v>521242.94999999995</v>
      </c>
      <c r="K78" s="30"/>
      <c r="L78" s="30">
        <f t="shared" si="57"/>
        <v>-995.07552653809239</v>
      </c>
      <c r="M78" s="5">
        <f>N(-573625.2)</f>
        <v>-573625.19999999995</v>
      </c>
      <c r="N78" s="30">
        <f>N(-261462.84)</f>
        <v>-261462.84</v>
      </c>
      <c r="O78" s="30">
        <f t="shared" si="58"/>
        <v>312162.36</v>
      </c>
      <c r="P78" s="30"/>
      <c r="Q78" s="30">
        <f t="shared" si="59"/>
        <v>-119.39071724303156</v>
      </c>
      <c r="R78" s="32">
        <f>N(-52382.25)</f>
        <v>-52382.25</v>
      </c>
      <c r="S78" s="33">
        <f t="shared" si="60"/>
        <v>521242.94999999995</v>
      </c>
      <c r="T78" s="34"/>
      <c r="U78" s="34">
        <f t="shared" si="61"/>
        <v>-995.07552653809239</v>
      </c>
    </row>
    <row r="79" spans="1:21" hidden="1" outlineLevel="2">
      <c r="A79" s="22"/>
      <c r="B79" s="28">
        <v>5420</v>
      </c>
      <c r="C79" s="29" t="s">
        <v>111</v>
      </c>
      <c r="D79" s="5">
        <f>N(998759.37)</f>
        <v>998759.37</v>
      </c>
      <c r="E79" s="30">
        <f>N(1198862.578332)</f>
        <v>1198862.5783319999</v>
      </c>
      <c r="F79" s="30">
        <f t="shared" si="54"/>
        <v>200103.20833199995</v>
      </c>
      <c r="G79" s="30"/>
      <c r="H79" s="31">
        <f t="shared" si="55"/>
        <v>16.691088031991733</v>
      </c>
      <c r="I79" s="32">
        <f>N(849490.04)</f>
        <v>849490.04</v>
      </c>
      <c r="J79" s="30">
        <f t="shared" si="56"/>
        <v>-149269.32999999996</v>
      </c>
      <c r="K79" s="30"/>
      <c r="L79" s="30">
        <f t="shared" si="57"/>
        <v>-17.571639804040547</v>
      </c>
      <c r="M79" s="5">
        <f>N(998759.37)</f>
        <v>998759.37</v>
      </c>
      <c r="N79" s="30">
        <f>N(1198862.578332)</f>
        <v>1198862.5783319999</v>
      </c>
      <c r="O79" s="30">
        <f t="shared" si="58"/>
        <v>200103.20833199995</v>
      </c>
      <c r="P79" s="30"/>
      <c r="Q79" s="30">
        <f t="shared" si="59"/>
        <v>16.691088031991733</v>
      </c>
      <c r="R79" s="32">
        <f>N(849490.04)</f>
        <v>849490.04</v>
      </c>
      <c r="S79" s="33">
        <f t="shared" si="60"/>
        <v>-149269.32999999996</v>
      </c>
      <c r="T79" s="34"/>
      <c r="U79" s="34">
        <f t="shared" si="61"/>
        <v>-17.571639804040547</v>
      </c>
    </row>
    <row r="80" spans="1:21" hidden="1" outlineLevel="2">
      <c r="A80" s="22"/>
      <c r="B80" s="28">
        <v>5490</v>
      </c>
      <c r="C80" s="29" t="s">
        <v>112</v>
      </c>
      <c r="D80" s="5">
        <f>N(-484874.17)</f>
        <v>-484874.17</v>
      </c>
      <c r="E80" s="30">
        <f>N(-1198862.578332)</f>
        <v>-1198862.5783319999</v>
      </c>
      <c r="F80" s="30">
        <f t="shared" si="54"/>
        <v>-713988.40833200002</v>
      </c>
      <c r="G80" s="30"/>
      <c r="H80" s="31">
        <f t="shared" si="55"/>
        <v>59.555483775745635</v>
      </c>
      <c r="I80" s="32">
        <f>N(-849490.04)</f>
        <v>-849490.04</v>
      </c>
      <c r="J80" s="30">
        <f t="shared" si="56"/>
        <v>-364615.87000000005</v>
      </c>
      <c r="K80" s="30"/>
      <c r="L80" s="30">
        <f t="shared" si="57"/>
        <v>42.921735727472459</v>
      </c>
      <c r="M80" s="5">
        <f>N(-484874.17)</f>
        <v>-484874.17</v>
      </c>
      <c r="N80" s="30">
        <f>N(-1198862.578332)</f>
        <v>-1198862.5783319999</v>
      </c>
      <c r="O80" s="30">
        <f t="shared" si="58"/>
        <v>-713988.40833200002</v>
      </c>
      <c r="P80" s="30"/>
      <c r="Q80" s="30">
        <f t="shared" si="59"/>
        <v>59.555483775745635</v>
      </c>
      <c r="R80" s="32">
        <f>N(-849490.04)</f>
        <v>-849490.04</v>
      </c>
      <c r="S80" s="33">
        <f t="shared" si="60"/>
        <v>-364615.87000000005</v>
      </c>
      <c r="T80" s="34"/>
      <c r="U80" s="34">
        <f t="shared" si="61"/>
        <v>42.921735727472459</v>
      </c>
    </row>
    <row r="81" spans="1:21" hidden="1" outlineLevel="1" collapsed="1">
      <c r="A81" s="22"/>
      <c r="B81" s="35" t="str">
        <f>"    "&amp;"Fordel i arbeidsforhold"</f>
        <v xml:space="preserve">    Fordel i arbeidsforhold</v>
      </c>
      <c r="C81" s="36"/>
      <c r="D81" s="37">
        <f t="shared" ref="D81:E81" si="80">SUM(D69:D80)</f>
        <v>77755.000000000058</v>
      </c>
      <c r="E81" s="33">
        <f t="shared" si="80"/>
        <v>0</v>
      </c>
      <c r="F81" s="33">
        <f t="shared" si="54"/>
        <v>-77755.000000000058</v>
      </c>
      <c r="G81" s="33"/>
      <c r="H81" s="38">
        <f t="shared" si="55"/>
        <v>0</v>
      </c>
      <c r="I81" s="39">
        <f>SUM(I69:I80)</f>
        <v>0</v>
      </c>
      <c r="J81" s="33">
        <f t="shared" si="56"/>
        <v>-77755.000000000058</v>
      </c>
      <c r="K81" s="33"/>
      <c r="L81" s="33">
        <f t="shared" si="57"/>
        <v>0</v>
      </c>
      <c r="M81" s="37">
        <f t="shared" ref="M81:N81" si="81">SUM(M69:M80)</f>
        <v>77755.000000000058</v>
      </c>
      <c r="N81" s="33">
        <f t="shared" si="81"/>
        <v>0</v>
      </c>
      <c r="O81" s="33">
        <f t="shared" si="58"/>
        <v>-77755.000000000058</v>
      </c>
      <c r="P81" s="33"/>
      <c r="Q81" s="33">
        <f t="shared" si="59"/>
        <v>0</v>
      </c>
      <c r="R81" s="39">
        <f>SUM(R69:R80)</f>
        <v>0</v>
      </c>
      <c r="S81" s="33">
        <f t="shared" si="60"/>
        <v>-77755.000000000058</v>
      </c>
      <c r="T81" s="34"/>
      <c r="U81" s="34">
        <f t="shared" si="61"/>
        <v>0</v>
      </c>
    </row>
    <row r="82" spans="1:21" hidden="1" outlineLevel="2">
      <c r="A82" s="22"/>
      <c r="B82" s="28">
        <v>5312</v>
      </c>
      <c r="C82" s="29" t="s">
        <v>113</v>
      </c>
      <c r="D82" s="5">
        <f>N(158339.71)</f>
        <v>158339.71</v>
      </c>
      <c r="E82" s="30">
        <f>N(227922.36)</f>
        <v>227922.36</v>
      </c>
      <c r="F82" s="30">
        <f t="shared" si="54"/>
        <v>69582.649999999994</v>
      </c>
      <c r="G82" s="30"/>
      <c r="H82" s="31">
        <f t="shared" si="55"/>
        <v>30.529102103014374</v>
      </c>
      <c r="I82" s="32">
        <f>N(132636.95)</f>
        <v>132636.95000000001</v>
      </c>
      <c r="J82" s="30">
        <f t="shared" si="56"/>
        <v>-25702.75999999998</v>
      </c>
      <c r="K82" s="30"/>
      <c r="L82" s="30">
        <f t="shared" si="57"/>
        <v>-19.378280335909398</v>
      </c>
      <c r="M82" s="5">
        <f>N(158339.71)</f>
        <v>158339.71</v>
      </c>
      <c r="N82" s="30">
        <f>N(227922.36)</f>
        <v>227922.36</v>
      </c>
      <c r="O82" s="30">
        <f t="shared" si="58"/>
        <v>69582.649999999994</v>
      </c>
      <c r="P82" s="30"/>
      <c r="Q82" s="30">
        <f t="shared" si="59"/>
        <v>30.529102103014374</v>
      </c>
      <c r="R82" s="32">
        <f>N(132636.95)</f>
        <v>132636.95000000001</v>
      </c>
      <c r="S82" s="33">
        <f t="shared" si="60"/>
        <v>-25702.75999999998</v>
      </c>
      <c r="T82" s="34"/>
      <c r="U82" s="34">
        <f t="shared" si="61"/>
        <v>-19.378280335909398</v>
      </c>
    </row>
    <row r="83" spans="1:21" hidden="1" outlineLevel="2">
      <c r="A83" s="22"/>
      <c r="B83" s="28">
        <v>5326</v>
      </c>
      <c r="C83" s="29" t="s">
        <v>114</v>
      </c>
      <c r="D83" s="5">
        <f>N(136327)</f>
        <v>136327</v>
      </c>
      <c r="E83" s="30">
        <f>N(126999.99996)</f>
        <v>126999.99996</v>
      </c>
      <c r="F83" s="30">
        <f t="shared" si="54"/>
        <v>-9327.000039999999</v>
      </c>
      <c r="G83" s="30"/>
      <c r="H83" s="31">
        <f t="shared" si="55"/>
        <v>-7.3440945219981399</v>
      </c>
      <c r="I83" s="32">
        <f>N(135993)</f>
        <v>135993</v>
      </c>
      <c r="J83" s="30">
        <f t="shared" si="56"/>
        <v>-334</v>
      </c>
      <c r="K83" s="30"/>
      <c r="L83" s="30">
        <f t="shared" si="57"/>
        <v>-0.245600876515703</v>
      </c>
      <c r="M83" s="5">
        <f>N(136327)</f>
        <v>136327</v>
      </c>
      <c r="N83" s="30">
        <f>N(126999.99996)</f>
        <v>126999.99996</v>
      </c>
      <c r="O83" s="30">
        <f t="shared" si="58"/>
        <v>-9327.000039999999</v>
      </c>
      <c r="P83" s="30"/>
      <c r="Q83" s="30">
        <f t="shared" si="59"/>
        <v>-7.3440945219981399</v>
      </c>
      <c r="R83" s="32">
        <f>N(135993)</f>
        <v>135993</v>
      </c>
      <c r="S83" s="33">
        <f t="shared" si="60"/>
        <v>-334</v>
      </c>
      <c r="T83" s="34"/>
      <c r="U83" s="34">
        <f t="shared" si="61"/>
        <v>-0.245600876515703</v>
      </c>
    </row>
    <row r="84" spans="1:21" hidden="1" outlineLevel="2">
      <c r="A84" s="22"/>
      <c r="B84" s="28">
        <v>5391</v>
      </c>
      <c r="C84" s="29" t="s">
        <v>115</v>
      </c>
      <c r="D84" s="5">
        <f>N(15000)</f>
        <v>15000</v>
      </c>
      <c r="E84" s="30">
        <f>N(0)</f>
        <v>0</v>
      </c>
      <c r="F84" s="30">
        <f t="shared" si="54"/>
        <v>-15000</v>
      </c>
      <c r="G84" s="30"/>
      <c r="H84" s="31">
        <f t="shared" si="55"/>
        <v>0</v>
      </c>
      <c r="I84" s="32">
        <f>N(0)</f>
        <v>0</v>
      </c>
      <c r="J84" s="30">
        <f t="shared" si="56"/>
        <v>-15000</v>
      </c>
      <c r="K84" s="30"/>
      <c r="L84" s="30">
        <f t="shared" si="57"/>
        <v>0</v>
      </c>
      <c r="M84" s="5">
        <f>N(15000)</f>
        <v>15000</v>
      </c>
      <c r="N84" s="30">
        <f>N(0)</f>
        <v>0</v>
      </c>
      <c r="O84" s="30">
        <f t="shared" si="58"/>
        <v>-15000</v>
      </c>
      <c r="P84" s="30"/>
      <c r="Q84" s="30">
        <f t="shared" si="59"/>
        <v>0</v>
      </c>
      <c r="R84" s="32">
        <f>N(0)</f>
        <v>0</v>
      </c>
      <c r="S84" s="33">
        <f t="shared" si="60"/>
        <v>-15000</v>
      </c>
      <c r="T84" s="34"/>
      <c r="U84" s="34">
        <f t="shared" si="61"/>
        <v>0</v>
      </c>
    </row>
    <row r="85" spans="1:21" hidden="1" outlineLevel="1" collapsed="1">
      <c r="A85" s="22"/>
      <c r="B85" s="35" t="str">
        <f>"    "&amp;"Annen oppgavepliktig godtgjørelse"</f>
        <v xml:space="preserve">    Annen oppgavepliktig godtgjørelse</v>
      </c>
      <c r="C85" s="36"/>
      <c r="D85" s="37">
        <f t="shared" ref="D85:E85" si="82">SUM(D82:D84)</f>
        <v>309666.70999999996</v>
      </c>
      <c r="E85" s="33">
        <f t="shared" si="82"/>
        <v>354922.35995999997</v>
      </c>
      <c r="F85" s="33">
        <f t="shared" si="54"/>
        <v>45255.64996000001</v>
      </c>
      <c r="G85" s="33"/>
      <c r="H85" s="38">
        <f t="shared" si="55"/>
        <v>12.750859079461874</v>
      </c>
      <c r="I85" s="39">
        <f>SUM(I82:I84)</f>
        <v>268629.95</v>
      </c>
      <c r="J85" s="33">
        <f t="shared" si="56"/>
        <v>-41036.759999999951</v>
      </c>
      <c r="K85" s="33"/>
      <c r="L85" s="33">
        <f t="shared" si="57"/>
        <v>-15.276315987848694</v>
      </c>
      <c r="M85" s="37">
        <f t="shared" ref="M85:N85" si="83">SUM(M82:M84)</f>
        <v>309666.70999999996</v>
      </c>
      <c r="N85" s="33">
        <f t="shared" si="83"/>
        <v>354922.35995999997</v>
      </c>
      <c r="O85" s="33">
        <f t="shared" si="58"/>
        <v>45255.64996000001</v>
      </c>
      <c r="P85" s="33"/>
      <c r="Q85" s="33">
        <f t="shared" si="59"/>
        <v>12.750859079461874</v>
      </c>
      <c r="R85" s="39">
        <f>SUM(R82:R84)</f>
        <v>268629.95</v>
      </c>
      <c r="S85" s="33">
        <f t="shared" si="60"/>
        <v>-41036.759999999951</v>
      </c>
      <c r="T85" s="34"/>
      <c r="U85" s="34">
        <f t="shared" si="61"/>
        <v>-15.276315987848694</v>
      </c>
    </row>
    <row r="86" spans="1:21" hidden="1" outlineLevel="2">
      <c r="A86" s="22"/>
      <c r="B86" s="28">
        <v>5400</v>
      </c>
      <c r="C86" s="29" t="s">
        <v>116</v>
      </c>
      <c r="D86" s="5">
        <f>N(1583130.1)</f>
        <v>1583130.1</v>
      </c>
      <c r="E86" s="30">
        <f>N(1994621.712671)</f>
        <v>1994621.712671</v>
      </c>
      <c r="F86" s="30">
        <f t="shared" si="54"/>
        <v>411491.61267099995</v>
      </c>
      <c r="G86" s="30"/>
      <c r="H86" s="31">
        <f t="shared" si="55"/>
        <v>20.630057822842559</v>
      </c>
      <c r="I86" s="32">
        <f>N(1444414.97)</f>
        <v>1444414.97</v>
      </c>
      <c r="J86" s="30">
        <f t="shared" si="56"/>
        <v>-138715.13000000012</v>
      </c>
      <c r="K86" s="30"/>
      <c r="L86" s="30">
        <f t="shared" si="57"/>
        <v>-9.6035511180003983</v>
      </c>
      <c r="M86" s="5">
        <f>N(1583130.1)</f>
        <v>1583130.1</v>
      </c>
      <c r="N86" s="30">
        <f>N(1994621.712671)</f>
        <v>1994621.712671</v>
      </c>
      <c r="O86" s="30">
        <f t="shared" si="58"/>
        <v>411491.61267099995</v>
      </c>
      <c r="P86" s="30"/>
      <c r="Q86" s="30">
        <f t="shared" si="59"/>
        <v>20.630057822842559</v>
      </c>
      <c r="R86" s="32">
        <f>N(1444414.97)</f>
        <v>1444414.97</v>
      </c>
      <c r="S86" s="33">
        <f t="shared" si="60"/>
        <v>-138715.13000000012</v>
      </c>
      <c r="T86" s="34"/>
      <c r="U86" s="34">
        <f t="shared" si="61"/>
        <v>-9.6035511180003983</v>
      </c>
    </row>
    <row r="87" spans="1:21" hidden="1" outlineLevel="2">
      <c r="A87" s="22"/>
      <c r="B87" s="28">
        <v>5410</v>
      </c>
      <c r="C87" s="29" t="s">
        <v>117</v>
      </c>
      <c r="D87" s="5">
        <f>N(183652.84)</f>
        <v>183652.84</v>
      </c>
      <c r="E87" s="30">
        <f>N(221773.296933)</f>
        <v>221773.29693300001</v>
      </c>
      <c r="F87" s="30">
        <f t="shared" si="54"/>
        <v>38120.456933000009</v>
      </c>
      <c r="G87" s="30"/>
      <c r="H87" s="31">
        <f t="shared" si="55"/>
        <v>17.188930074172362</v>
      </c>
      <c r="I87" s="32">
        <f>N(165916.61)</f>
        <v>165916.60999999999</v>
      </c>
      <c r="J87" s="30">
        <f t="shared" si="56"/>
        <v>-17736.23000000001</v>
      </c>
      <c r="K87" s="30"/>
      <c r="L87" s="30">
        <f t="shared" si="57"/>
        <v>-10.689845941283401</v>
      </c>
      <c r="M87" s="5">
        <f>N(183652.84)</f>
        <v>183652.84</v>
      </c>
      <c r="N87" s="30">
        <f>N(221773.296933)</f>
        <v>221773.29693300001</v>
      </c>
      <c r="O87" s="30">
        <f t="shared" si="58"/>
        <v>38120.456933000009</v>
      </c>
      <c r="P87" s="30"/>
      <c r="Q87" s="30">
        <f t="shared" si="59"/>
        <v>17.188930074172362</v>
      </c>
      <c r="R87" s="32">
        <f>N(165916.61)</f>
        <v>165916.60999999999</v>
      </c>
      <c r="S87" s="33">
        <f t="shared" si="60"/>
        <v>-17736.23000000001</v>
      </c>
      <c r="T87" s="34"/>
      <c r="U87" s="34">
        <f t="shared" si="61"/>
        <v>-10.689845941283401</v>
      </c>
    </row>
    <row r="88" spans="1:21" hidden="1" outlineLevel="1" collapsed="1">
      <c r="A88" s="22"/>
      <c r="B88" s="35" t="str">
        <f>"    "&amp;"Arbeidsgiveravgift og pensjonskostnad"</f>
        <v xml:space="preserve">    Arbeidsgiveravgift og pensjonskostnad</v>
      </c>
      <c r="C88" s="36"/>
      <c r="D88" s="37">
        <f t="shared" ref="D88:E88" si="84">SUM(D86:D87)</f>
        <v>1766782.9400000002</v>
      </c>
      <c r="E88" s="33">
        <f t="shared" si="84"/>
        <v>2216395.009604</v>
      </c>
      <c r="F88" s="33">
        <f t="shared" si="54"/>
        <v>449612.06960399984</v>
      </c>
      <c r="G88" s="33"/>
      <c r="H88" s="38">
        <f t="shared" si="55"/>
        <v>20.28573731919435</v>
      </c>
      <c r="I88" s="39">
        <f>SUM(I86:I87)</f>
        <v>1610331.58</v>
      </c>
      <c r="J88" s="33">
        <f t="shared" si="56"/>
        <v>-156451.3600000001</v>
      </c>
      <c r="K88" s="33"/>
      <c r="L88" s="33">
        <f t="shared" si="57"/>
        <v>-9.7154748713305441</v>
      </c>
      <c r="M88" s="37">
        <f t="shared" ref="M88:N88" si="85">SUM(M86:M87)</f>
        <v>1766782.9400000002</v>
      </c>
      <c r="N88" s="33">
        <f t="shared" si="85"/>
        <v>2216395.009604</v>
      </c>
      <c r="O88" s="33">
        <f t="shared" si="58"/>
        <v>449612.06960399984</v>
      </c>
      <c r="P88" s="33"/>
      <c r="Q88" s="33">
        <f t="shared" si="59"/>
        <v>20.28573731919435</v>
      </c>
      <c r="R88" s="39">
        <f>SUM(R86:R87)</f>
        <v>1610331.58</v>
      </c>
      <c r="S88" s="33">
        <f t="shared" si="60"/>
        <v>-156451.3600000001</v>
      </c>
      <c r="T88" s="34"/>
      <c r="U88" s="34">
        <f t="shared" si="61"/>
        <v>-9.7154748713305441</v>
      </c>
    </row>
    <row r="89" spans="1:21" hidden="1" outlineLevel="2">
      <c r="A89" s="22"/>
      <c r="B89" s="28">
        <v>5800</v>
      </c>
      <c r="C89" s="29" t="s">
        <v>118</v>
      </c>
      <c r="D89" s="5">
        <f>N(-465197.01)</f>
        <v>-465197.01</v>
      </c>
      <c r="E89" s="30">
        <f t="shared" ref="E89:E91" si="86">N(0)</f>
        <v>0</v>
      </c>
      <c r="F89" s="30">
        <f t="shared" si="54"/>
        <v>465197.01</v>
      </c>
      <c r="G89" s="30"/>
      <c r="H89" s="31">
        <f t="shared" si="55"/>
        <v>0</v>
      </c>
      <c r="I89" s="32">
        <f>N(-555720)</f>
        <v>-555720</v>
      </c>
      <c r="J89" s="30">
        <f t="shared" si="56"/>
        <v>-90522.989999999991</v>
      </c>
      <c r="K89" s="30"/>
      <c r="L89" s="30">
        <f t="shared" si="57"/>
        <v>16.289316562297561</v>
      </c>
      <c r="M89" s="5">
        <f>N(-465197.01)</f>
        <v>-465197.01</v>
      </c>
      <c r="N89" s="30">
        <f t="shared" ref="N89:N91" si="87">N(0)</f>
        <v>0</v>
      </c>
      <c r="O89" s="30">
        <f t="shared" si="58"/>
        <v>465197.01</v>
      </c>
      <c r="P89" s="30"/>
      <c r="Q89" s="30">
        <f t="shared" si="59"/>
        <v>0</v>
      </c>
      <c r="R89" s="32">
        <f>N(-555720)</f>
        <v>-555720</v>
      </c>
      <c r="S89" s="33">
        <f t="shared" si="60"/>
        <v>-90522.989999999991</v>
      </c>
      <c r="T89" s="34"/>
      <c r="U89" s="34">
        <f t="shared" si="61"/>
        <v>16.289316562297561</v>
      </c>
    </row>
    <row r="90" spans="1:21" hidden="1" outlineLevel="2">
      <c r="A90" s="22"/>
      <c r="B90" s="28">
        <v>5802</v>
      </c>
      <c r="C90" s="29" t="s">
        <v>119</v>
      </c>
      <c r="D90" s="5">
        <f>N(-84337.61)</f>
        <v>-84337.61</v>
      </c>
      <c r="E90" s="30">
        <f t="shared" si="86"/>
        <v>0</v>
      </c>
      <c r="F90" s="30">
        <f t="shared" si="54"/>
        <v>84337.61</v>
      </c>
      <c r="G90" s="30"/>
      <c r="H90" s="31">
        <f t="shared" si="55"/>
        <v>0</v>
      </c>
      <c r="I90" s="32">
        <f>N(-6318.55)</f>
        <v>-6318.55</v>
      </c>
      <c r="J90" s="30">
        <f t="shared" si="56"/>
        <v>78019.06</v>
      </c>
      <c r="K90" s="30"/>
      <c r="L90" s="30">
        <f t="shared" si="57"/>
        <v>-1234.7620894034233</v>
      </c>
      <c r="M90" s="5">
        <f>N(-84337.61)</f>
        <v>-84337.61</v>
      </c>
      <c r="N90" s="30">
        <f t="shared" si="87"/>
        <v>0</v>
      </c>
      <c r="O90" s="30">
        <f t="shared" si="58"/>
        <v>84337.61</v>
      </c>
      <c r="P90" s="30"/>
      <c r="Q90" s="30">
        <f t="shared" si="59"/>
        <v>0</v>
      </c>
      <c r="R90" s="32">
        <f>N(-6318.55)</f>
        <v>-6318.55</v>
      </c>
      <c r="S90" s="33">
        <f t="shared" si="60"/>
        <v>78019.06</v>
      </c>
      <c r="T90" s="34"/>
      <c r="U90" s="34">
        <f t="shared" si="61"/>
        <v>-1234.7620894034233</v>
      </c>
    </row>
    <row r="91" spans="1:21" hidden="1" outlineLevel="2">
      <c r="A91" s="22"/>
      <c r="B91" s="28">
        <v>5860</v>
      </c>
      <c r="C91" s="29" t="s">
        <v>120</v>
      </c>
      <c r="D91" s="5">
        <f>N(-23652.99)</f>
        <v>-23652.99</v>
      </c>
      <c r="E91" s="30">
        <f t="shared" si="86"/>
        <v>0</v>
      </c>
      <c r="F91" s="30">
        <f t="shared" si="54"/>
        <v>23652.99</v>
      </c>
      <c r="G91" s="30"/>
      <c r="H91" s="31">
        <f t="shared" si="55"/>
        <v>0</v>
      </c>
      <c r="I91" s="32">
        <f>N(0)</f>
        <v>0</v>
      </c>
      <c r="J91" s="30">
        <f t="shared" si="56"/>
        <v>23652.99</v>
      </c>
      <c r="K91" s="30"/>
      <c r="L91" s="30">
        <f t="shared" si="57"/>
        <v>0</v>
      </c>
      <c r="M91" s="5">
        <f>N(-23652.99)</f>
        <v>-23652.99</v>
      </c>
      <c r="N91" s="30">
        <f t="shared" si="87"/>
        <v>0</v>
      </c>
      <c r="O91" s="30">
        <f t="shared" si="58"/>
        <v>23652.99</v>
      </c>
      <c r="P91" s="30"/>
      <c r="Q91" s="30">
        <f t="shared" si="59"/>
        <v>0</v>
      </c>
      <c r="R91" s="32">
        <f>N(0)</f>
        <v>0</v>
      </c>
      <c r="S91" s="33">
        <f t="shared" si="60"/>
        <v>23652.99</v>
      </c>
      <c r="T91" s="34"/>
      <c r="U91" s="34">
        <f t="shared" si="61"/>
        <v>0</v>
      </c>
    </row>
    <row r="92" spans="1:21" hidden="1" outlineLevel="1" collapsed="1">
      <c r="A92" s="22"/>
      <c r="B92" s="35" t="str">
        <f>"    "&amp;"Offentlig refusjon vedrørende arbeidskraft"</f>
        <v xml:space="preserve">    Offentlig refusjon vedrørende arbeidskraft</v>
      </c>
      <c r="C92" s="36"/>
      <c r="D92" s="37">
        <f t="shared" ref="D92:E92" si="88">SUM(D89:D91)</f>
        <v>-573187.61</v>
      </c>
      <c r="E92" s="33">
        <f t="shared" si="88"/>
        <v>0</v>
      </c>
      <c r="F92" s="33">
        <f t="shared" si="54"/>
        <v>573187.61</v>
      </c>
      <c r="G92" s="33"/>
      <c r="H92" s="38">
        <f t="shared" si="55"/>
        <v>0</v>
      </c>
      <c r="I92" s="39">
        <f>SUM(I89:I91)</f>
        <v>-562038.55000000005</v>
      </c>
      <c r="J92" s="33">
        <f t="shared" si="56"/>
        <v>11149.059999999939</v>
      </c>
      <c r="K92" s="33"/>
      <c r="L92" s="33">
        <f t="shared" si="57"/>
        <v>-1.9836824360179455</v>
      </c>
      <c r="M92" s="37">
        <f t="shared" ref="M92:N92" si="89">SUM(M89:M91)</f>
        <v>-573187.61</v>
      </c>
      <c r="N92" s="33">
        <f t="shared" si="89"/>
        <v>0</v>
      </c>
      <c r="O92" s="33">
        <f t="shared" si="58"/>
        <v>573187.61</v>
      </c>
      <c r="P92" s="33"/>
      <c r="Q92" s="33">
        <f t="shared" si="59"/>
        <v>0</v>
      </c>
      <c r="R92" s="39">
        <f>SUM(R89:R91)</f>
        <v>-562038.55000000005</v>
      </c>
      <c r="S92" s="33">
        <f t="shared" si="60"/>
        <v>11149.059999999939</v>
      </c>
      <c r="T92" s="34"/>
      <c r="U92" s="34">
        <f t="shared" si="61"/>
        <v>-1.9836824360179455</v>
      </c>
    </row>
    <row r="93" spans="1:21" hidden="1" outlineLevel="2">
      <c r="A93" s="22"/>
      <c r="B93" s="28">
        <v>5500</v>
      </c>
      <c r="C93" s="29" t="s">
        <v>121</v>
      </c>
      <c r="D93" s="5">
        <f>N(210688.18)</f>
        <v>210688.18</v>
      </c>
      <c r="E93" s="30">
        <f t="shared" ref="E93:E96" si="90">N(0)</f>
        <v>0</v>
      </c>
      <c r="F93" s="30">
        <f t="shared" si="54"/>
        <v>-210688.18</v>
      </c>
      <c r="G93" s="30"/>
      <c r="H93" s="31">
        <f t="shared" si="55"/>
        <v>0</v>
      </c>
      <c r="I93" s="32">
        <f>N(206795.33)</f>
        <v>206795.33</v>
      </c>
      <c r="J93" s="30">
        <f t="shared" si="56"/>
        <v>-3892.8500000000058</v>
      </c>
      <c r="K93" s="30"/>
      <c r="L93" s="30">
        <f t="shared" si="57"/>
        <v>-1.8824651407747004</v>
      </c>
      <c r="M93" s="5">
        <f>N(210688.18)</f>
        <v>210688.18</v>
      </c>
      <c r="N93" s="30">
        <f t="shared" ref="N93:N96" si="91">N(0)</f>
        <v>0</v>
      </c>
      <c r="O93" s="30">
        <f t="shared" si="58"/>
        <v>-210688.18</v>
      </c>
      <c r="P93" s="30"/>
      <c r="Q93" s="30">
        <f t="shared" si="59"/>
        <v>0</v>
      </c>
      <c r="R93" s="32">
        <f>N(206795.33)</f>
        <v>206795.33</v>
      </c>
      <c r="S93" s="33">
        <f t="shared" si="60"/>
        <v>-3892.8500000000058</v>
      </c>
      <c r="T93" s="34"/>
      <c r="U93" s="34">
        <f t="shared" si="61"/>
        <v>-1.8824651407747004</v>
      </c>
    </row>
    <row r="94" spans="1:21" hidden="1" outlineLevel="2">
      <c r="A94" s="22"/>
      <c r="B94" s="28">
        <v>5900</v>
      </c>
      <c r="C94" s="29" t="s">
        <v>122</v>
      </c>
      <c r="D94" s="5">
        <f>N(39388.85)</f>
        <v>39388.85</v>
      </c>
      <c r="E94" s="30">
        <f t="shared" si="90"/>
        <v>0</v>
      </c>
      <c r="F94" s="30">
        <f t="shared" si="54"/>
        <v>-39388.85</v>
      </c>
      <c r="G94" s="30"/>
      <c r="H94" s="31">
        <f t="shared" si="55"/>
        <v>0</v>
      </c>
      <c r="I94" s="32">
        <f>N(29318.7)</f>
        <v>29318.7</v>
      </c>
      <c r="J94" s="30">
        <f t="shared" si="56"/>
        <v>-10070.149999999998</v>
      </c>
      <c r="K94" s="30"/>
      <c r="L94" s="30">
        <f t="shared" si="57"/>
        <v>-34.347191382973996</v>
      </c>
      <c r="M94" s="5">
        <f>N(39388.85)</f>
        <v>39388.85</v>
      </c>
      <c r="N94" s="30">
        <f t="shared" si="91"/>
        <v>0</v>
      </c>
      <c r="O94" s="30">
        <f t="shared" si="58"/>
        <v>-39388.85</v>
      </c>
      <c r="P94" s="30"/>
      <c r="Q94" s="30">
        <f t="shared" si="59"/>
        <v>0</v>
      </c>
      <c r="R94" s="32">
        <f>N(29318.7)</f>
        <v>29318.7</v>
      </c>
      <c r="S94" s="33">
        <f t="shared" si="60"/>
        <v>-10070.149999999998</v>
      </c>
      <c r="T94" s="34"/>
      <c r="U94" s="34">
        <f t="shared" si="61"/>
        <v>-34.347191382973996</v>
      </c>
    </row>
    <row r="95" spans="1:21" hidden="1" outlineLevel="2">
      <c r="A95" s="22"/>
      <c r="B95" s="28">
        <v>5910</v>
      </c>
      <c r="C95" s="29" t="s">
        <v>109</v>
      </c>
      <c r="D95" s="5">
        <f>N(14321.96)</f>
        <v>14321.96</v>
      </c>
      <c r="E95" s="30">
        <f t="shared" si="90"/>
        <v>0</v>
      </c>
      <c r="F95" s="30">
        <f t="shared" si="54"/>
        <v>-14321.96</v>
      </c>
      <c r="G95" s="30"/>
      <c r="H95" s="31">
        <f t="shared" si="55"/>
        <v>0</v>
      </c>
      <c r="I95" s="32">
        <f>N(10922.17)</f>
        <v>10922.17</v>
      </c>
      <c r="J95" s="30">
        <f t="shared" si="56"/>
        <v>-3399.7899999999991</v>
      </c>
      <c r="K95" s="30"/>
      <c r="L95" s="30">
        <f t="shared" si="57"/>
        <v>-31.127422481063732</v>
      </c>
      <c r="M95" s="5">
        <f>N(14321.96)</f>
        <v>14321.96</v>
      </c>
      <c r="N95" s="30">
        <f t="shared" si="91"/>
        <v>0</v>
      </c>
      <c r="O95" s="30">
        <f t="shared" si="58"/>
        <v>-14321.96</v>
      </c>
      <c r="P95" s="30"/>
      <c r="Q95" s="30">
        <f t="shared" si="59"/>
        <v>0</v>
      </c>
      <c r="R95" s="32">
        <f>N(10922.17)</f>
        <v>10922.17</v>
      </c>
      <c r="S95" s="33">
        <f t="shared" si="60"/>
        <v>-3399.7899999999991</v>
      </c>
      <c r="T95" s="34"/>
      <c r="U95" s="34">
        <f t="shared" si="61"/>
        <v>-31.127422481063732</v>
      </c>
    </row>
    <row r="96" spans="1:21" hidden="1" outlineLevel="2">
      <c r="A96" s="22"/>
      <c r="B96" s="28">
        <v>5942</v>
      </c>
      <c r="C96" s="29" t="s">
        <v>123</v>
      </c>
      <c r="D96" s="5">
        <f>N(196838)</f>
        <v>196838</v>
      </c>
      <c r="E96" s="30">
        <f t="shared" si="90"/>
        <v>0</v>
      </c>
      <c r="F96" s="30">
        <f t="shared" si="54"/>
        <v>-196838</v>
      </c>
      <c r="G96" s="30"/>
      <c r="H96" s="31">
        <f t="shared" si="55"/>
        <v>0</v>
      </c>
      <c r="I96" s="32">
        <f>N(-231578)</f>
        <v>-231578</v>
      </c>
      <c r="J96" s="30">
        <f t="shared" si="56"/>
        <v>-428416</v>
      </c>
      <c r="K96" s="30"/>
      <c r="L96" s="30">
        <f t="shared" si="57"/>
        <v>184.99857499417044</v>
      </c>
      <c r="M96" s="5">
        <f>N(196838)</f>
        <v>196838</v>
      </c>
      <c r="N96" s="30">
        <f t="shared" si="91"/>
        <v>0</v>
      </c>
      <c r="O96" s="30">
        <f t="shared" si="58"/>
        <v>-196838</v>
      </c>
      <c r="P96" s="30"/>
      <c r="Q96" s="30">
        <f t="shared" si="59"/>
        <v>0</v>
      </c>
      <c r="R96" s="32">
        <f>N(-231578)</f>
        <v>-231578</v>
      </c>
      <c r="S96" s="33">
        <f t="shared" si="60"/>
        <v>-428416</v>
      </c>
      <c r="T96" s="34"/>
      <c r="U96" s="34">
        <f t="shared" si="61"/>
        <v>184.99857499417044</v>
      </c>
    </row>
    <row r="97" spans="1:21" hidden="1" outlineLevel="2">
      <c r="A97" s="22"/>
      <c r="B97" s="28">
        <v>5947</v>
      </c>
      <c r="C97" s="29" t="s">
        <v>124</v>
      </c>
      <c r="D97" s="5">
        <f>N(995789.84)</f>
        <v>995789.84</v>
      </c>
      <c r="E97" s="30">
        <f>N(1198862.578332)</f>
        <v>1198862.5783319999</v>
      </c>
      <c r="F97" s="30">
        <f t="shared" si="54"/>
        <v>203072.73833199998</v>
      </c>
      <c r="G97" s="30"/>
      <c r="H97" s="31">
        <f t="shared" si="55"/>
        <v>16.938783643955162</v>
      </c>
      <c r="I97" s="32">
        <f>N(849490.04)</f>
        <v>849490.04</v>
      </c>
      <c r="J97" s="30">
        <f t="shared" si="56"/>
        <v>-146299.79999999993</v>
      </c>
      <c r="K97" s="30"/>
      <c r="L97" s="30">
        <f t="shared" si="57"/>
        <v>-17.222073610186168</v>
      </c>
      <c r="M97" s="5">
        <f>N(995789.84)</f>
        <v>995789.84</v>
      </c>
      <c r="N97" s="30">
        <f>N(1198862.578332)</f>
        <v>1198862.5783319999</v>
      </c>
      <c r="O97" s="30">
        <f t="shared" si="58"/>
        <v>203072.73833199998</v>
      </c>
      <c r="P97" s="30"/>
      <c r="Q97" s="30">
        <f t="shared" si="59"/>
        <v>16.938783643955162</v>
      </c>
      <c r="R97" s="32">
        <f>N(849490.04)</f>
        <v>849490.04</v>
      </c>
      <c r="S97" s="33">
        <f t="shared" si="60"/>
        <v>-146299.79999999993</v>
      </c>
      <c r="T97" s="34"/>
      <c r="U97" s="34">
        <f t="shared" si="61"/>
        <v>-17.222073610186168</v>
      </c>
    </row>
    <row r="98" spans="1:21" hidden="1" outlineLevel="2">
      <c r="A98" s="22"/>
      <c r="B98" s="28">
        <v>5960</v>
      </c>
      <c r="C98" s="29" t="s">
        <v>125</v>
      </c>
      <c r="D98" s="5">
        <f>N(23037.5)</f>
        <v>23037.5</v>
      </c>
      <c r="E98" s="30">
        <f>N(0)</f>
        <v>0</v>
      </c>
      <c r="F98" s="30">
        <f t="shared" si="54"/>
        <v>-23037.5</v>
      </c>
      <c r="G98" s="30"/>
      <c r="H98" s="31">
        <f t="shared" si="55"/>
        <v>0</v>
      </c>
      <c r="I98" s="32">
        <f>N(13175)</f>
        <v>13175</v>
      </c>
      <c r="J98" s="30">
        <f t="shared" si="56"/>
        <v>-9862.5</v>
      </c>
      <c r="K98" s="30"/>
      <c r="L98" s="30">
        <f t="shared" si="57"/>
        <v>-74.857685009487668</v>
      </c>
      <c r="M98" s="5">
        <f>N(23037.5)</f>
        <v>23037.5</v>
      </c>
      <c r="N98" s="30">
        <f>N(0)</f>
        <v>0</v>
      </c>
      <c r="O98" s="30">
        <f t="shared" si="58"/>
        <v>-23037.5</v>
      </c>
      <c r="P98" s="30"/>
      <c r="Q98" s="30">
        <f t="shared" si="59"/>
        <v>0</v>
      </c>
      <c r="R98" s="32">
        <f>N(13175)</f>
        <v>13175</v>
      </c>
      <c r="S98" s="33">
        <f t="shared" si="60"/>
        <v>-9862.5</v>
      </c>
      <c r="T98" s="34"/>
      <c r="U98" s="34">
        <f t="shared" si="61"/>
        <v>-74.857685009487668</v>
      </c>
    </row>
    <row r="99" spans="1:21" hidden="1" outlineLevel="2">
      <c r="A99" s="22"/>
      <c r="B99" s="28">
        <v>5980</v>
      </c>
      <c r="C99" s="29" t="s">
        <v>126</v>
      </c>
      <c r="D99" s="5">
        <f>N(926978.17)</f>
        <v>926978.17</v>
      </c>
      <c r="E99" s="30">
        <f>N(205800)</f>
        <v>205800</v>
      </c>
      <c r="F99" s="30">
        <f t="shared" si="54"/>
        <v>-721178.17</v>
      </c>
      <c r="G99" s="30"/>
      <c r="H99" s="31">
        <f t="shared" si="55"/>
        <v>-350.4267103984451</v>
      </c>
      <c r="I99" s="32">
        <f>N(503801.31)</f>
        <v>503801.31</v>
      </c>
      <c r="J99" s="30">
        <f t="shared" si="56"/>
        <v>-423176.86000000004</v>
      </c>
      <c r="K99" s="30"/>
      <c r="L99" s="30">
        <f t="shared" si="57"/>
        <v>-83.996776427596046</v>
      </c>
      <c r="M99" s="5">
        <f>N(926978.17)</f>
        <v>926978.17</v>
      </c>
      <c r="N99" s="30">
        <f>N(205800)</f>
        <v>205800</v>
      </c>
      <c r="O99" s="30">
        <f t="shared" si="58"/>
        <v>-721178.17</v>
      </c>
      <c r="P99" s="30"/>
      <c r="Q99" s="30">
        <f t="shared" si="59"/>
        <v>-350.4267103984451</v>
      </c>
      <c r="R99" s="32">
        <f>N(503801.31)</f>
        <v>503801.31</v>
      </c>
      <c r="S99" s="33">
        <f t="shared" si="60"/>
        <v>-423176.86000000004</v>
      </c>
      <c r="T99" s="34"/>
      <c r="U99" s="34">
        <f t="shared" si="61"/>
        <v>-83.996776427596046</v>
      </c>
    </row>
    <row r="100" spans="1:21" hidden="1" outlineLevel="2">
      <c r="A100" s="22"/>
      <c r="B100" s="28">
        <v>5990</v>
      </c>
      <c r="C100" s="29" t="s">
        <v>127</v>
      </c>
      <c r="D100" s="5">
        <f>N(56250.16)</f>
        <v>56250.16</v>
      </c>
      <c r="E100" s="30">
        <f>N(313)</f>
        <v>313</v>
      </c>
      <c r="F100" s="30">
        <f t="shared" si="54"/>
        <v>-55937.16</v>
      </c>
      <c r="G100" s="30"/>
      <c r="H100" s="31">
        <f t="shared" si="55"/>
        <v>-17871.297124600638</v>
      </c>
      <c r="I100" s="32">
        <f>N(47796.96)</f>
        <v>47796.959999999999</v>
      </c>
      <c r="J100" s="30">
        <f t="shared" si="56"/>
        <v>-8453.2000000000044</v>
      </c>
      <c r="K100" s="30"/>
      <c r="L100" s="30">
        <f t="shared" si="57"/>
        <v>-17.685643605785817</v>
      </c>
      <c r="M100" s="5">
        <f>N(56250.16)</f>
        <v>56250.16</v>
      </c>
      <c r="N100" s="30">
        <f>N(313)</f>
        <v>313</v>
      </c>
      <c r="O100" s="30">
        <f t="shared" si="58"/>
        <v>-55937.16</v>
      </c>
      <c r="P100" s="30"/>
      <c r="Q100" s="30">
        <f t="shared" si="59"/>
        <v>-17871.297124600638</v>
      </c>
      <c r="R100" s="32">
        <f>N(47796.96)</f>
        <v>47796.959999999999</v>
      </c>
      <c r="S100" s="33">
        <f t="shared" si="60"/>
        <v>-8453.2000000000044</v>
      </c>
      <c r="T100" s="34"/>
      <c r="U100" s="34">
        <f t="shared" si="61"/>
        <v>-17.685643605785817</v>
      </c>
    </row>
    <row r="101" spans="1:21" hidden="1" outlineLevel="2">
      <c r="A101" s="22"/>
      <c r="B101" s="28">
        <v>5995</v>
      </c>
      <c r="C101" s="29" t="s">
        <v>128</v>
      </c>
      <c r="D101" s="5">
        <f t="shared" ref="D101:D102" si="92">N(0)</f>
        <v>0</v>
      </c>
      <c r="E101" s="30">
        <f>N(-36453.95)</f>
        <v>-36453.949999999997</v>
      </c>
      <c r="F101" s="30">
        <f t="shared" si="54"/>
        <v>-36453.949999999997</v>
      </c>
      <c r="G101" s="30"/>
      <c r="H101" s="31">
        <f t="shared" si="55"/>
        <v>100</v>
      </c>
      <c r="I101" s="32">
        <f t="shared" ref="I101:I102" si="93">N(0)</f>
        <v>0</v>
      </c>
      <c r="J101" s="30">
        <f t="shared" si="56"/>
        <v>0</v>
      </c>
      <c r="K101" s="30"/>
      <c r="L101" s="30">
        <f t="shared" si="57"/>
        <v>0</v>
      </c>
      <c r="M101" s="5">
        <f t="shared" ref="M101:M102" si="94">N(0)</f>
        <v>0</v>
      </c>
      <c r="N101" s="30">
        <f>N(-36453.95)</f>
        <v>-36453.949999999997</v>
      </c>
      <c r="O101" s="30">
        <f t="shared" si="58"/>
        <v>-36453.949999999997</v>
      </c>
      <c r="P101" s="30"/>
      <c r="Q101" s="30">
        <f t="shared" si="59"/>
        <v>100</v>
      </c>
      <c r="R101" s="32">
        <f t="shared" ref="R101:R102" si="95">N(0)</f>
        <v>0</v>
      </c>
      <c r="S101" s="33">
        <f t="shared" si="60"/>
        <v>0</v>
      </c>
      <c r="T101" s="34"/>
      <c r="U101" s="34">
        <f t="shared" si="61"/>
        <v>0</v>
      </c>
    </row>
    <row r="102" spans="1:21" hidden="1" outlineLevel="2">
      <c r="A102" s="22"/>
      <c r="B102" s="28">
        <v>5999</v>
      </c>
      <c r="C102" s="29" t="s">
        <v>129</v>
      </c>
      <c r="D102" s="5">
        <f t="shared" si="92"/>
        <v>0</v>
      </c>
      <c r="E102" s="30">
        <f>N(0)</f>
        <v>0</v>
      </c>
      <c r="F102" s="30">
        <f t="shared" si="54"/>
        <v>0</v>
      </c>
      <c r="G102" s="30"/>
      <c r="H102" s="31">
        <f t="shared" si="55"/>
        <v>0</v>
      </c>
      <c r="I102" s="32">
        <f t="shared" si="93"/>
        <v>0</v>
      </c>
      <c r="J102" s="30">
        <f t="shared" si="56"/>
        <v>0</v>
      </c>
      <c r="K102" s="30"/>
      <c r="L102" s="30">
        <f t="shared" si="57"/>
        <v>0</v>
      </c>
      <c r="M102" s="5">
        <f t="shared" si="94"/>
        <v>0</v>
      </c>
      <c r="N102" s="30">
        <f>N(0)</f>
        <v>0</v>
      </c>
      <c r="O102" s="30">
        <f t="shared" si="58"/>
        <v>0</v>
      </c>
      <c r="P102" s="30"/>
      <c r="Q102" s="30">
        <f t="shared" si="59"/>
        <v>0</v>
      </c>
      <c r="R102" s="32">
        <f t="shared" si="95"/>
        <v>0</v>
      </c>
      <c r="S102" s="33">
        <f t="shared" si="60"/>
        <v>0</v>
      </c>
      <c r="T102" s="34"/>
      <c r="U102" s="34">
        <f t="shared" si="61"/>
        <v>0</v>
      </c>
    </row>
    <row r="103" spans="1:21" hidden="1" outlineLevel="1" collapsed="1">
      <c r="A103" s="22"/>
      <c r="B103" s="35" t="str">
        <f>"    "&amp;"Annen personalkostnad"</f>
        <v xml:space="preserve">    Annen personalkostnad</v>
      </c>
      <c r="C103" s="36"/>
      <c r="D103" s="37">
        <f t="shared" ref="D103:E103" si="96">SUM(D93:D102)</f>
        <v>2463292.66</v>
      </c>
      <c r="E103" s="33">
        <f t="shared" si="96"/>
        <v>1368521.628332</v>
      </c>
      <c r="F103" s="33">
        <f t="shared" si="54"/>
        <v>-1094771.0316680002</v>
      </c>
      <c r="G103" s="33"/>
      <c r="H103" s="38">
        <f t="shared" si="55"/>
        <v>-79.996618906370074</v>
      </c>
      <c r="I103" s="39">
        <f>SUM(I93:I102)</f>
        <v>1429721.51</v>
      </c>
      <c r="J103" s="33">
        <f t="shared" si="56"/>
        <v>-1033571.1500000001</v>
      </c>
      <c r="K103" s="33"/>
      <c r="L103" s="33">
        <f t="shared" si="57"/>
        <v>-72.291781495264772</v>
      </c>
      <c r="M103" s="37">
        <f t="shared" ref="M103:N103" si="97">SUM(M93:M102)</f>
        <v>2463292.66</v>
      </c>
      <c r="N103" s="33">
        <f t="shared" si="97"/>
        <v>1368521.628332</v>
      </c>
      <c r="O103" s="33">
        <f t="shared" si="58"/>
        <v>-1094771.0316680002</v>
      </c>
      <c r="P103" s="33"/>
      <c r="Q103" s="33">
        <f t="shared" si="59"/>
        <v>-79.996618906370074</v>
      </c>
      <c r="R103" s="39">
        <f>SUM(R93:R102)</f>
        <v>1429721.51</v>
      </c>
      <c r="S103" s="33">
        <f t="shared" si="60"/>
        <v>-1033571.1500000001</v>
      </c>
      <c r="T103" s="34"/>
      <c r="U103" s="34">
        <f t="shared" si="61"/>
        <v>-72.291781495264772</v>
      </c>
    </row>
    <row r="104" spans="1:21" hidden="1" outlineLevel="2">
      <c r="A104" s="22"/>
      <c r="B104" s="28">
        <v>5310</v>
      </c>
      <c r="C104" s="29" t="s">
        <v>130</v>
      </c>
      <c r="D104" s="5">
        <f t="shared" ref="D104:E105" si="98">N(0)</f>
        <v>0</v>
      </c>
      <c r="E104" s="30">
        <f t="shared" si="98"/>
        <v>0</v>
      </c>
      <c r="F104" s="30">
        <f t="shared" si="54"/>
        <v>0</v>
      </c>
      <c r="G104" s="30"/>
      <c r="H104" s="31">
        <f t="shared" si="55"/>
        <v>0</v>
      </c>
      <c r="I104" s="32">
        <f t="shared" ref="I104:I105" si="99">N(0)</f>
        <v>0</v>
      </c>
      <c r="J104" s="30">
        <f t="shared" si="56"/>
        <v>0</v>
      </c>
      <c r="K104" s="30"/>
      <c r="L104" s="30">
        <f t="shared" si="57"/>
        <v>0</v>
      </c>
      <c r="M104" s="5">
        <f t="shared" ref="M104:N105" si="100">N(0)</f>
        <v>0</v>
      </c>
      <c r="N104" s="30">
        <f t="shared" si="100"/>
        <v>0</v>
      </c>
      <c r="O104" s="30">
        <f t="shared" si="58"/>
        <v>0</v>
      </c>
      <c r="P104" s="30"/>
      <c r="Q104" s="30">
        <f t="shared" si="59"/>
        <v>0</v>
      </c>
      <c r="R104" s="32">
        <f t="shared" ref="R104:R105" si="101">N(0)</f>
        <v>0</v>
      </c>
      <c r="S104" s="33">
        <f t="shared" si="60"/>
        <v>0</v>
      </c>
      <c r="T104" s="34"/>
      <c r="U104" s="34">
        <f t="shared" si="61"/>
        <v>0</v>
      </c>
    </row>
    <row r="105" spans="1:21" hidden="1" outlineLevel="2">
      <c r="A105" s="22"/>
      <c r="B105" s="28">
        <v>5994</v>
      </c>
      <c r="C105" s="29" t="s">
        <v>140</v>
      </c>
      <c r="D105" s="5">
        <f t="shared" si="98"/>
        <v>0</v>
      </c>
      <c r="E105" s="30">
        <f t="shared" si="98"/>
        <v>0</v>
      </c>
      <c r="F105" s="30">
        <f t="shared" si="54"/>
        <v>0</v>
      </c>
      <c r="G105" s="30"/>
      <c r="H105" s="31">
        <f t="shared" si="55"/>
        <v>0</v>
      </c>
      <c r="I105" s="32">
        <f t="shared" si="99"/>
        <v>0</v>
      </c>
      <c r="J105" s="30">
        <f t="shared" si="56"/>
        <v>0</v>
      </c>
      <c r="K105" s="30"/>
      <c r="L105" s="30">
        <f t="shared" si="57"/>
        <v>0</v>
      </c>
      <c r="M105" s="5">
        <f t="shared" si="100"/>
        <v>0</v>
      </c>
      <c r="N105" s="30">
        <f t="shared" si="100"/>
        <v>0</v>
      </c>
      <c r="O105" s="30">
        <f t="shared" si="58"/>
        <v>0</v>
      </c>
      <c r="P105" s="30"/>
      <c r="Q105" s="30">
        <f t="shared" si="59"/>
        <v>0</v>
      </c>
      <c r="R105" s="32">
        <f t="shared" si="101"/>
        <v>0</v>
      </c>
      <c r="S105" s="33">
        <f t="shared" si="60"/>
        <v>0</v>
      </c>
      <c r="T105" s="34"/>
      <c r="U105" s="34">
        <f t="shared" si="61"/>
        <v>0</v>
      </c>
    </row>
    <row r="106" spans="1:21" hidden="1" outlineLevel="1" collapsed="1">
      <c r="A106" s="22"/>
      <c r="B106" s="35" t="str">
        <f>"    "&amp;"Pensjon og forsikring Cornerstone"</f>
        <v xml:space="preserve">    Pensjon og forsikring Cornerstone</v>
      </c>
      <c r="C106" s="36"/>
      <c r="D106" s="37">
        <f t="shared" ref="D106:E106" si="102">SUM(D104:D105)</f>
        <v>0</v>
      </c>
      <c r="E106" s="33">
        <f t="shared" si="102"/>
        <v>0</v>
      </c>
      <c r="F106" s="33">
        <f>-D106+E106</f>
        <v>0</v>
      </c>
      <c r="G106" s="33"/>
      <c r="H106" s="38">
        <f>IF(E106=0,0,F106*100/E106)</f>
        <v>0</v>
      </c>
      <c r="I106" s="39">
        <f>SUM(I104:I105)</f>
        <v>0</v>
      </c>
      <c r="J106" s="33">
        <f>-D106+I106</f>
        <v>0</v>
      </c>
      <c r="K106" s="33"/>
      <c r="L106" s="33">
        <f>IF(I106=0,0,J106*100/I106)</f>
        <v>0</v>
      </c>
      <c r="M106" s="37">
        <f t="shared" ref="M106:N106" si="103">SUM(M104:M105)</f>
        <v>0</v>
      </c>
      <c r="N106" s="33">
        <f t="shared" si="103"/>
        <v>0</v>
      </c>
      <c r="O106" s="33">
        <f>-M106+N106</f>
        <v>0</v>
      </c>
      <c r="P106" s="33"/>
      <c r="Q106" s="33">
        <f>IF(N106=0,0,O106*100/N106)</f>
        <v>0</v>
      </c>
      <c r="R106" s="39">
        <f>SUM(R104:R105)</f>
        <v>0</v>
      </c>
      <c r="S106" s="33">
        <f>-M106+R106</f>
        <v>0</v>
      </c>
      <c r="T106" s="34"/>
      <c r="U106" s="34">
        <f>IF(R106=0,0,S106*100/R106)</f>
        <v>0</v>
      </c>
    </row>
    <row r="107" spans="1:21" collapsed="1">
      <c r="A107" s="22"/>
      <c r="B107" s="41" t="s">
        <v>17</v>
      </c>
      <c r="C107" s="42"/>
      <c r="D107" s="43">
        <f ca="1">SUM(OSRRefD18_1x_0)</f>
        <v>19457445.210000001</v>
      </c>
      <c r="E107" s="44">
        <f ca="1">SUM(OSRRefE18_1x_0)</f>
        <v>21444998.245138999</v>
      </c>
      <c r="F107" s="44">
        <f t="shared" ref="F107:F170" ca="1" si="104">-D107+E107</f>
        <v>1987553.0351389982</v>
      </c>
      <c r="G107" s="44"/>
      <c r="H107" s="45">
        <f t="shared" ref="H107:H170" ca="1" si="105">IF(E107=0,0,F107*100/E107)</f>
        <v>9.2681426802612243</v>
      </c>
      <c r="I107" s="46">
        <f ca="1">SUM(OSRRefI18_1x_0)</f>
        <v>16810976.599999998</v>
      </c>
      <c r="J107" s="44">
        <f t="shared" ref="J107:J170" ca="1" si="106">-D107+I107</f>
        <v>-2646468.6100000031</v>
      </c>
      <c r="K107" s="44"/>
      <c r="L107" s="44">
        <f t="shared" ref="L107:L170" ca="1" si="107">IF(I107=0,0,J107*100/I107)</f>
        <v>-15.742503680601182</v>
      </c>
      <c r="M107" s="43">
        <f ca="1">SUM(OSRRefM18_1x_0)</f>
        <v>19457445.210000001</v>
      </c>
      <c r="N107" s="44">
        <f ca="1">SUM(OSRRefN18_1x_0)</f>
        <v>21444998.245138999</v>
      </c>
      <c r="O107" s="44">
        <f t="shared" ref="O107:O170" ca="1" si="108">-M107+N107</f>
        <v>1987553.0351389982</v>
      </c>
      <c r="P107" s="44"/>
      <c r="Q107" s="44">
        <f t="shared" ref="Q107:Q170" ca="1" si="109">IF(N107=0,0,O107*100/N107)</f>
        <v>9.2681426802612243</v>
      </c>
      <c r="R107" s="46">
        <f ca="1">SUM(OSRRefR18_1x_0)</f>
        <v>16810976.599999998</v>
      </c>
      <c r="S107" s="44">
        <f t="shared" ref="S107:S170" ca="1" si="110">-M107+R107</f>
        <v>-2646468.6100000031</v>
      </c>
      <c r="T107" s="47"/>
      <c r="U107" s="47">
        <f t="shared" ref="U107:U170" ca="1" si="111">IF(R107=0,0,S107*100/R107)</f>
        <v>-15.742503680601182</v>
      </c>
    </row>
    <row r="108" spans="1:21" hidden="1" outlineLevel="2">
      <c r="A108" s="22"/>
      <c r="B108" s="28">
        <v>6017</v>
      </c>
      <c r="C108" s="29" t="s">
        <v>141</v>
      </c>
      <c r="D108" s="5">
        <f>N(109323.68)</f>
        <v>109323.68</v>
      </c>
      <c r="E108" s="30">
        <f>N(105000)</f>
        <v>105000</v>
      </c>
      <c r="F108" s="30">
        <f t="shared" si="104"/>
        <v>-4323.679999999993</v>
      </c>
      <c r="G108" s="30"/>
      <c r="H108" s="31">
        <f t="shared" si="105"/>
        <v>-4.1177904761904696</v>
      </c>
      <c r="I108" s="32">
        <f>N(116637.22)</f>
        <v>116637.22</v>
      </c>
      <c r="J108" s="30">
        <f t="shared" si="106"/>
        <v>7313.5400000000081</v>
      </c>
      <c r="K108" s="30"/>
      <c r="L108" s="30">
        <f t="shared" si="107"/>
        <v>6.270331203024222</v>
      </c>
      <c r="M108" s="5">
        <f>N(109323.68)</f>
        <v>109323.68</v>
      </c>
      <c r="N108" s="30">
        <f>N(105000)</f>
        <v>105000</v>
      </c>
      <c r="O108" s="30">
        <f t="shared" si="108"/>
        <v>-4323.679999999993</v>
      </c>
      <c r="P108" s="30"/>
      <c r="Q108" s="30">
        <f t="shared" si="109"/>
        <v>-4.1177904761904696</v>
      </c>
      <c r="R108" s="32">
        <f>N(116637.22)</f>
        <v>116637.22</v>
      </c>
      <c r="S108" s="33">
        <f t="shared" si="110"/>
        <v>7313.5400000000081</v>
      </c>
      <c r="T108" s="34"/>
      <c r="U108" s="34">
        <f t="shared" si="111"/>
        <v>6.270331203024222</v>
      </c>
    </row>
    <row r="109" spans="1:21" hidden="1" outlineLevel="1" collapsed="1">
      <c r="A109" s="22"/>
      <c r="B109" s="35" t="str">
        <f>"    "&amp;"Av- og nedskrivning"</f>
        <v xml:space="preserve">    Av- og nedskrivning</v>
      </c>
      <c r="C109" s="36"/>
      <c r="D109" s="37">
        <f t="shared" ref="D109:E109" si="112">SUM(D108)</f>
        <v>109323.68</v>
      </c>
      <c r="E109" s="33">
        <f t="shared" si="112"/>
        <v>105000</v>
      </c>
      <c r="F109" s="33">
        <f t="shared" si="104"/>
        <v>-4323.679999999993</v>
      </c>
      <c r="G109" s="33"/>
      <c r="H109" s="38">
        <f t="shared" si="105"/>
        <v>-4.1177904761904696</v>
      </c>
      <c r="I109" s="39">
        <f>SUM(I108)</f>
        <v>116637.22</v>
      </c>
      <c r="J109" s="33">
        <f t="shared" si="106"/>
        <v>7313.5400000000081</v>
      </c>
      <c r="K109" s="33"/>
      <c r="L109" s="33">
        <f t="shared" si="107"/>
        <v>6.270331203024222</v>
      </c>
      <c r="M109" s="37">
        <f t="shared" ref="M109:N109" si="113">SUM(M108)</f>
        <v>109323.68</v>
      </c>
      <c r="N109" s="33">
        <f t="shared" si="113"/>
        <v>105000</v>
      </c>
      <c r="O109" s="33">
        <f t="shared" si="108"/>
        <v>-4323.679999999993</v>
      </c>
      <c r="P109" s="33"/>
      <c r="Q109" s="33">
        <f t="shared" si="109"/>
        <v>-4.1177904761904696</v>
      </c>
      <c r="R109" s="39">
        <f>SUM(R108)</f>
        <v>116637.22</v>
      </c>
      <c r="S109" s="33">
        <f t="shared" si="110"/>
        <v>7313.5400000000081</v>
      </c>
      <c r="T109" s="34"/>
      <c r="U109" s="34">
        <f t="shared" si="111"/>
        <v>6.270331203024222</v>
      </c>
    </row>
    <row r="110" spans="1:21" hidden="1" outlineLevel="2">
      <c r="A110" s="22"/>
      <c r="B110" s="28">
        <v>6300</v>
      </c>
      <c r="C110" s="29" t="s">
        <v>142</v>
      </c>
      <c r="D110" s="5">
        <f>N(587022.44)</f>
        <v>587022.43999999994</v>
      </c>
      <c r="E110" s="30">
        <f>N(712000)</f>
        <v>712000</v>
      </c>
      <c r="F110" s="30">
        <f t="shared" si="104"/>
        <v>124977.56000000006</v>
      </c>
      <c r="G110" s="30"/>
      <c r="H110" s="31">
        <f t="shared" si="105"/>
        <v>17.553028089887647</v>
      </c>
      <c r="I110" s="32">
        <f>N(681299.55)</f>
        <v>681299.55</v>
      </c>
      <c r="J110" s="30">
        <f t="shared" si="106"/>
        <v>94277.110000000102</v>
      </c>
      <c r="K110" s="30"/>
      <c r="L110" s="30">
        <f t="shared" si="107"/>
        <v>13.837835354507442</v>
      </c>
      <c r="M110" s="5">
        <f>N(587022.44)</f>
        <v>587022.43999999994</v>
      </c>
      <c r="N110" s="30">
        <f>N(712000)</f>
        <v>712000</v>
      </c>
      <c r="O110" s="30">
        <f t="shared" si="108"/>
        <v>124977.56000000006</v>
      </c>
      <c r="P110" s="30"/>
      <c r="Q110" s="30">
        <f t="shared" si="109"/>
        <v>17.553028089887647</v>
      </c>
      <c r="R110" s="32">
        <f>N(681299.55)</f>
        <v>681299.55</v>
      </c>
      <c r="S110" s="33">
        <f t="shared" si="110"/>
        <v>94277.110000000102</v>
      </c>
      <c r="T110" s="34"/>
      <c r="U110" s="34">
        <f t="shared" si="111"/>
        <v>13.837835354507442</v>
      </c>
    </row>
    <row r="111" spans="1:21" hidden="1" outlineLevel="2">
      <c r="A111" s="22"/>
      <c r="B111" s="28">
        <v>6340</v>
      </c>
      <c r="C111" s="29" t="s">
        <v>143</v>
      </c>
      <c r="D111" s="5">
        <f>N(99)</f>
        <v>99</v>
      </c>
      <c r="E111" s="30">
        <f>N(0)</f>
        <v>0</v>
      </c>
      <c r="F111" s="30">
        <f t="shared" si="104"/>
        <v>-99</v>
      </c>
      <c r="G111" s="30"/>
      <c r="H111" s="31">
        <f t="shared" si="105"/>
        <v>0</v>
      </c>
      <c r="I111" s="32">
        <f>N(0)</f>
        <v>0</v>
      </c>
      <c r="J111" s="30">
        <f t="shared" si="106"/>
        <v>-99</v>
      </c>
      <c r="K111" s="30"/>
      <c r="L111" s="30">
        <f t="shared" si="107"/>
        <v>0</v>
      </c>
      <c r="M111" s="5">
        <f>N(99)</f>
        <v>99</v>
      </c>
      <c r="N111" s="30">
        <f>N(0)</f>
        <v>0</v>
      </c>
      <c r="O111" s="30">
        <f t="shared" si="108"/>
        <v>-99</v>
      </c>
      <c r="P111" s="30"/>
      <c r="Q111" s="30">
        <f t="shared" si="109"/>
        <v>0</v>
      </c>
      <c r="R111" s="32">
        <f>N(0)</f>
        <v>0</v>
      </c>
      <c r="S111" s="33">
        <f t="shared" si="110"/>
        <v>-99</v>
      </c>
      <c r="T111" s="34"/>
      <c r="U111" s="34">
        <f t="shared" si="111"/>
        <v>0</v>
      </c>
    </row>
    <row r="112" spans="1:21" hidden="1" outlineLevel="2">
      <c r="A112" s="22"/>
      <c r="B112" s="28">
        <v>6360</v>
      </c>
      <c r="C112" s="29" t="s">
        <v>144</v>
      </c>
      <c r="D112" s="5">
        <f>N(49015)</f>
        <v>49015</v>
      </c>
      <c r="E112" s="30">
        <f>N(55000)</f>
        <v>55000</v>
      </c>
      <c r="F112" s="30">
        <f t="shared" si="104"/>
        <v>5985</v>
      </c>
      <c r="G112" s="30"/>
      <c r="H112" s="31">
        <f t="shared" si="105"/>
        <v>10.881818181818181</v>
      </c>
      <c r="I112" s="32">
        <f>N(61357.26)</f>
        <v>61357.26</v>
      </c>
      <c r="J112" s="30">
        <f t="shared" si="106"/>
        <v>12342.260000000002</v>
      </c>
      <c r="K112" s="30"/>
      <c r="L112" s="30">
        <f t="shared" si="107"/>
        <v>20.11540280644866</v>
      </c>
      <c r="M112" s="5">
        <f>N(49015)</f>
        <v>49015</v>
      </c>
      <c r="N112" s="30">
        <f>N(55000)</f>
        <v>55000</v>
      </c>
      <c r="O112" s="30">
        <f t="shared" si="108"/>
        <v>5985</v>
      </c>
      <c r="P112" s="30"/>
      <c r="Q112" s="30">
        <f t="shared" si="109"/>
        <v>10.881818181818181</v>
      </c>
      <c r="R112" s="32">
        <f>N(61357.26)</f>
        <v>61357.26</v>
      </c>
      <c r="S112" s="33">
        <f t="shared" si="110"/>
        <v>12342.260000000002</v>
      </c>
      <c r="T112" s="34"/>
      <c r="U112" s="34">
        <f t="shared" si="111"/>
        <v>20.11540280644866</v>
      </c>
    </row>
    <row r="113" spans="1:21" hidden="1" outlineLevel="2">
      <c r="A113" s="22"/>
      <c r="B113" s="28">
        <v>6390</v>
      </c>
      <c r="C113" s="29" t="s">
        <v>145</v>
      </c>
      <c r="D113" s="5">
        <f>N(24474.39)</f>
        <v>24474.39</v>
      </c>
      <c r="E113" s="30">
        <f>N(0)</f>
        <v>0</v>
      </c>
      <c r="F113" s="30">
        <f t="shared" si="104"/>
        <v>-24474.39</v>
      </c>
      <c r="G113" s="30"/>
      <c r="H113" s="31">
        <f t="shared" si="105"/>
        <v>0</v>
      </c>
      <c r="I113" s="32">
        <f>N(3715)</f>
        <v>3715</v>
      </c>
      <c r="J113" s="30">
        <f t="shared" si="106"/>
        <v>-20759.39</v>
      </c>
      <c r="K113" s="30"/>
      <c r="L113" s="30">
        <f t="shared" si="107"/>
        <v>-558.79919246298789</v>
      </c>
      <c r="M113" s="5">
        <f>N(24474.39)</f>
        <v>24474.39</v>
      </c>
      <c r="N113" s="30">
        <f>N(0)</f>
        <v>0</v>
      </c>
      <c r="O113" s="30">
        <f t="shared" si="108"/>
        <v>-24474.39</v>
      </c>
      <c r="P113" s="30"/>
      <c r="Q113" s="30">
        <f t="shared" si="109"/>
        <v>0</v>
      </c>
      <c r="R113" s="32">
        <f>N(3715)</f>
        <v>3715</v>
      </c>
      <c r="S113" s="33">
        <f t="shared" si="110"/>
        <v>-20759.39</v>
      </c>
      <c r="T113" s="34"/>
      <c r="U113" s="34">
        <f t="shared" si="111"/>
        <v>-558.79919246298789</v>
      </c>
    </row>
    <row r="114" spans="1:21" hidden="1" outlineLevel="2">
      <c r="A114" s="22"/>
      <c r="B114" s="28">
        <v>6490</v>
      </c>
      <c r="C114" s="29" t="s">
        <v>146</v>
      </c>
      <c r="D114" s="5">
        <f>N(51305)</f>
        <v>51305</v>
      </c>
      <c r="E114" s="30">
        <f>N(40000)</f>
        <v>40000</v>
      </c>
      <c r="F114" s="30">
        <f t="shared" si="104"/>
        <v>-11305</v>
      </c>
      <c r="G114" s="30"/>
      <c r="H114" s="31">
        <f t="shared" si="105"/>
        <v>-28.262499999999999</v>
      </c>
      <c r="I114" s="32">
        <f>N(41585)</f>
        <v>41585</v>
      </c>
      <c r="J114" s="30">
        <f t="shared" si="106"/>
        <v>-9720</v>
      </c>
      <c r="K114" s="30"/>
      <c r="L114" s="30">
        <f t="shared" si="107"/>
        <v>-23.373812672838763</v>
      </c>
      <c r="M114" s="5">
        <f>N(51305)</f>
        <v>51305</v>
      </c>
      <c r="N114" s="30">
        <f>N(40000)</f>
        <v>40000</v>
      </c>
      <c r="O114" s="30">
        <f t="shared" si="108"/>
        <v>-11305</v>
      </c>
      <c r="P114" s="30"/>
      <c r="Q114" s="30">
        <f t="shared" si="109"/>
        <v>-28.262499999999999</v>
      </c>
      <c r="R114" s="32">
        <f>N(41585)</f>
        <v>41585</v>
      </c>
      <c r="S114" s="33">
        <f t="shared" si="110"/>
        <v>-9720</v>
      </c>
      <c r="T114" s="34"/>
      <c r="U114" s="34">
        <f t="shared" si="111"/>
        <v>-23.373812672838763</v>
      </c>
    </row>
    <row r="115" spans="1:21" hidden="1" outlineLevel="1" collapsed="1">
      <c r="A115" s="22"/>
      <c r="B115" s="35" t="str">
        <f>"    "&amp;"Kostnad lokaler"</f>
        <v xml:space="preserve">    Kostnad lokaler</v>
      </c>
      <c r="C115" s="36"/>
      <c r="D115" s="37">
        <f t="shared" ref="D115:E115" si="114">SUM(D110:D114)</f>
        <v>711915.83</v>
      </c>
      <c r="E115" s="33">
        <f t="shared" si="114"/>
        <v>807000</v>
      </c>
      <c r="F115" s="33">
        <f t="shared" si="104"/>
        <v>95084.170000000042</v>
      </c>
      <c r="G115" s="33"/>
      <c r="H115" s="38">
        <f t="shared" si="105"/>
        <v>11.782425030978938</v>
      </c>
      <c r="I115" s="39">
        <f>SUM(I110:I114)</f>
        <v>787956.81</v>
      </c>
      <c r="J115" s="33">
        <f t="shared" si="106"/>
        <v>76040.980000000098</v>
      </c>
      <c r="K115" s="33"/>
      <c r="L115" s="33">
        <f t="shared" si="107"/>
        <v>9.6503994933427997</v>
      </c>
      <c r="M115" s="37">
        <f t="shared" ref="M115:N115" si="115">SUM(M110:M114)</f>
        <v>711915.83</v>
      </c>
      <c r="N115" s="33">
        <f t="shared" si="115"/>
        <v>807000</v>
      </c>
      <c r="O115" s="33">
        <f t="shared" si="108"/>
        <v>95084.170000000042</v>
      </c>
      <c r="P115" s="33"/>
      <c r="Q115" s="33">
        <f t="shared" si="109"/>
        <v>11.782425030978938</v>
      </c>
      <c r="R115" s="39">
        <f>SUM(R110:R114)</f>
        <v>787956.81</v>
      </c>
      <c r="S115" s="33">
        <f t="shared" si="110"/>
        <v>76040.980000000098</v>
      </c>
      <c r="T115" s="34"/>
      <c r="U115" s="34">
        <f t="shared" si="111"/>
        <v>9.6503994933427997</v>
      </c>
    </row>
    <row r="116" spans="1:21" hidden="1" outlineLevel="2">
      <c r="A116" s="22"/>
      <c r="B116" s="28">
        <v>6405</v>
      </c>
      <c r="C116" s="29" t="s">
        <v>147</v>
      </c>
      <c r="D116" s="5">
        <f>N(437942.25)</f>
        <v>437942.25</v>
      </c>
      <c r="E116" s="30">
        <f>N(330000)</f>
        <v>330000</v>
      </c>
      <c r="F116" s="30">
        <f t="shared" si="104"/>
        <v>-107942.25</v>
      </c>
      <c r="G116" s="30"/>
      <c r="H116" s="31">
        <f t="shared" si="105"/>
        <v>-32.709772727272728</v>
      </c>
      <c r="I116" s="32">
        <f>N(317318.53)</f>
        <v>317318.53000000003</v>
      </c>
      <c r="J116" s="30">
        <f t="shared" si="106"/>
        <v>-120623.71999999997</v>
      </c>
      <c r="K116" s="30"/>
      <c r="L116" s="30">
        <f t="shared" si="107"/>
        <v>-38.01344976607573</v>
      </c>
      <c r="M116" s="5">
        <f>N(437942.25)</f>
        <v>437942.25</v>
      </c>
      <c r="N116" s="30">
        <f>N(330000)</f>
        <v>330000</v>
      </c>
      <c r="O116" s="30">
        <f t="shared" si="108"/>
        <v>-107942.25</v>
      </c>
      <c r="P116" s="30"/>
      <c r="Q116" s="30">
        <f t="shared" si="109"/>
        <v>-32.709772727272728</v>
      </c>
      <c r="R116" s="32">
        <f>N(317318.53)</f>
        <v>317318.53000000003</v>
      </c>
      <c r="S116" s="33">
        <f t="shared" si="110"/>
        <v>-120623.71999999997</v>
      </c>
      <c r="T116" s="34"/>
      <c r="U116" s="34">
        <f t="shared" si="111"/>
        <v>-38.01344976607573</v>
      </c>
    </row>
    <row r="117" spans="1:21" hidden="1" outlineLevel="2">
      <c r="A117" s="22"/>
      <c r="B117" s="28">
        <v>6410</v>
      </c>
      <c r="C117" s="29" t="s">
        <v>148</v>
      </c>
      <c r="D117" s="5">
        <f>N(7750)</f>
        <v>7750</v>
      </c>
      <c r="E117" s="30">
        <f>N(0)</f>
        <v>0</v>
      </c>
      <c r="F117" s="30">
        <f t="shared" si="104"/>
        <v>-7750</v>
      </c>
      <c r="G117" s="30"/>
      <c r="H117" s="31">
        <f t="shared" si="105"/>
        <v>0</v>
      </c>
      <c r="I117" s="32">
        <f>N(6209)</f>
        <v>6209</v>
      </c>
      <c r="J117" s="30">
        <f t="shared" si="106"/>
        <v>-1541</v>
      </c>
      <c r="K117" s="30"/>
      <c r="L117" s="30">
        <f t="shared" si="107"/>
        <v>-24.818811402802385</v>
      </c>
      <c r="M117" s="5">
        <f>N(7750)</f>
        <v>7750</v>
      </c>
      <c r="N117" s="30">
        <f>N(0)</f>
        <v>0</v>
      </c>
      <c r="O117" s="30">
        <f t="shared" si="108"/>
        <v>-7750</v>
      </c>
      <c r="P117" s="30"/>
      <c r="Q117" s="30">
        <f t="shared" si="109"/>
        <v>0</v>
      </c>
      <c r="R117" s="32">
        <f>N(6209)</f>
        <v>6209</v>
      </c>
      <c r="S117" s="33">
        <f t="shared" si="110"/>
        <v>-1541</v>
      </c>
      <c r="T117" s="34"/>
      <c r="U117" s="34">
        <f t="shared" si="111"/>
        <v>-24.818811402802385</v>
      </c>
    </row>
    <row r="118" spans="1:21" hidden="1" outlineLevel="2">
      <c r="A118" s="22"/>
      <c r="B118" s="28">
        <v>6420</v>
      </c>
      <c r="C118" s="29" t="s">
        <v>149</v>
      </c>
      <c r="D118" s="5">
        <f>N(1303783.24)</f>
        <v>1303783.24</v>
      </c>
      <c r="E118" s="30">
        <f>N(1141000.01)</f>
        <v>1141000.01</v>
      </c>
      <c r="F118" s="30">
        <f t="shared" si="104"/>
        <v>-162783.22999999998</v>
      </c>
      <c r="G118" s="30"/>
      <c r="H118" s="31">
        <f t="shared" si="105"/>
        <v>-14.266715913525713</v>
      </c>
      <c r="I118" s="32">
        <f>N(1202152.26)</f>
        <v>1202152.26</v>
      </c>
      <c r="J118" s="30">
        <f t="shared" si="106"/>
        <v>-101630.97999999998</v>
      </c>
      <c r="K118" s="30"/>
      <c r="L118" s="30">
        <f t="shared" si="107"/>
        <v>-8.4540855082699746</v>
      </c>
      <c r="M118" s="5">
        <f>N(1303783.24)</f>
        <v>1303783.24</v>
      </c>
      <c r="N118" s="30">
        <f>N(1141000.01)</f>
        <v>1141000.01</v>
      </c>
      <c r="O118" s="30">
        <f t="shared" si="108"/>
        <v>-162783.22999999998</v>
      </c>
      <c r="P118" s="30"/>
      <c r="Q118" s="30">
        <f t="shared" si="109"/>
        <v>-14.266715913525713</v>
      </c>
      <c r="R118" s="32">
        <f>N(1202152.26)</f>
        <v>1202152.26</v>
      </c>
      <c r="S118" s="33">
        <f t="shared" si="110"/>
        <v>-101630.97999999998</v>
      </c>
      <c r="T118" s="34"/>
      <c r="U118" s="34">
        <f t="shared" si="111"/>
        <v>-8.4540855082699746</v>
      </c>
    </row>
    <row r="119" spans="1:21" hidden="1" outlineLevel="2">
      <c r="A119" s="22"/>
      <c r="B119" s="28">
        <v>6421</v>
      </c>
      <c r="C119" s="29" t="s">
        <v>150</v>
      </c>
      <c r="D119" s="5">
        <f>N(617.62)</f>
        <v>617.62</v>
      </c>
      <c r="E119" s="30">
        <f>N(0)</f>
        <v>0</v>
      </c>
      <c r="F119" s="30">
        <f t="shared" si="104"/>
        <v>-617.62</v>
      </c>
      <c r="G119" s="30"/>
      <c r="H119" s="31">
        <f t="shared" si="105"/>
        <v>0</v>
      </c>
      <c r="I119" s="32">
        <f>N(13611.5)</f>
        <v>13611.5</v>
      </c>
      <c r="J119" s="30">
        <f t="shared" si="106"/>
        <v>12993.88</v>
      </c>
      <c r="K119" s="30"/>
      <c r="L119" s="30">
        <f t="shared" si="107"/>
        <v>95.462513315946069</v>
      </c>
      <c r="M119" s="5">
        <f>N(617.62)</f>
        <v>617.62</v>
      </c>
      <c r="N119" s="30">
        <f>N(0)</f>
        <v>0</v>
      </c>
      <c r="O119" s="30">
        <f t="shared" si="108"/>
        <v>-617.62</v>
      </c>
      <c r="P119" s="30"/>
      <c r="Q119" s="30">
        <f t="shared" si="109"/>
        <v>0</v>
      </c>
      <c r="R119" s="32">
        <f>N(13611.5)</f>
        <v>13611.5</v>
      </c>
      <c r="S119" s="33">
        <f t="shared" si="110"/>
        <v>12993.88</v>
      </c>
      <c r="T119" s="34"/>
      <c r="U119" s="34">
        <f t="shared" si="111"/>
        <v>95.462513315946069</v>
      </c>
    </row>
    <row r="120" spans="1:21" hidden="1" outlineLevel="2">
      <c r="A120" s="22"/>
      <c r="B120" s="28">
        <v>6430</v>
      </c>
      <c r="C120" s="29" t="s">
        <v>151</v>
      </c>
      <c r="D120" s="5">
        <f>N(21729.89)</f>
        <v>21729.89</v>
      </c>
      <c r="E120" s="30">
        <f>N(5000)</f>
        <v>5000</v>
      </c>
      <c r="F120" s="30">
        <f t="shared" si="104"/>
        <v>-16729.89</v>
      </c>
      <c r="G120" s="30"/>
      <c r="H120" s="31">
        <f t="shared" si="105"/>
        <v>-334.59780000000001</v>
      </c>
      <c r="I120" s="32">
        <f>N(30597.24)</f>
        <v>30597.24</v>
      </c>
      <c r="J120" s="30">
        <f t="shared" si="106"/>
        <v>8867.3500000000022</v>
      </c>
      <c r="K120" s="30"/>
      <c r="L120" s="30">
        <f t="shared" si="107"/>
        <v>28.980881935756305</v>
      </c>
      <c r="M120" s="5">
        <f>N(21729.89)</f>
        <v>21729.89</v>
      </c>
      <c r="N120" s="30">
        <f>N(5000)</f>
        <v>5000</v>
      </c>
      <c r="O120" s="30">
        <f t="shared" si="108"/>
        <v>-16729.89</v>
      </c>
      <c r="P120" s="30"/>
      <c r="Q120" s="30">
        <f t="shared" si="109"/>
        <v>-334.59780000000001</v>
      </c>
      <c r="R120" s="32">
        <f>N(30597.24)</f>
        <v>30597.24</v>
      </c>
      <c r="S120" s="33">
        <f t="shared" si="110"/>
        <v>8867.3500000000022</v>
      </c>
      <c r="T120" s="34"/>
      <c r="U120" s="34">
        <f t="shared" si="111"/>
        <v>28.980881935756305</v>
      </c>
    </row>
    <row r="121" spans="1:21" hidden="1" outlineLevel="1" collapsed="1">
      <c r="A121" s="22"/>
      <c r="B121" s="35" t="str">
        <f>"    "&amp;"Leie maskiner, inventar o.l."</f>
        <v xml:space="preserve">    Leie maskiner, inventar o.l.</v>
      </c>
      <c r="C121" s="36"/>
      <c r="D121" s="37">
        <f t="shared" ref="D121:E121" si="116">SUM(D116:D120)</f>
        <v>1771823</v>
      </c>
      <c r="E121" s="33">
        <f t="shared" si="116"/>
        <v>1476000.01</v>
      </c>
      <c r="F121" s="33">
        <f t="shared" si="104"/>
        <v>-295822.99</v>
      </c>
      <c r="G121" s="33"/>
      <c r="H121" s="38">
        <f t="shared" si="105"/>
        <v>-20.042207858792629</v>
      </c>
      <c r="I121" s="39">
        <f>SUM(I116:I120)</f>
        <v>1569888.53</v>
      </c>
      <c r="J121" s="33">
        <f t="shared" si="106"/>
        <v>-201934.46999999997</v>
      </c>
      <c r="K121" s="33"/>
      <c r="L121" s="33">
        <f t="shared" si="107"/>
        <v>-12.862981424547382</v>
      </c>
      <c r="M121" s="37">
        <f t="shared" ref="M121:N121" si="117">SUM(M116:M120)</f>
        <v>1771823</v>
      </c>
      <c r="N121" s="33">
        <f t="shared" si="117"/>
        <v>1476000.01</v>
      </c>
      <c r="O121" s="33">
        <f t="shared" si="108"/>
        <v>-295822.99</v>
      </c>
      <c r="P121" s="33"/>
      <c r="Q121" s="33">
        <f t="shared" si="109"/>
        <v>-20.042207858792629</v>
      </c>
      <c r="R121" s="39">
        <f>SUM(R116:R120)</f>
        <v>1569888.53</v>
      </c>
      <c r="S121" s="33">
        <f t="shared" si="110"/>
        <v>-201934.46999999997</v>
      </c>
      <c r="T121" s="34"/>
      <c r="U121" s="34">
        <f t="shared" si="111"/>
        <v>-12.862981424547382</v>
      </c>
    </row>
    <row r="122" spans="1:21" hidden="1" outlineLevel="2">
      <c r="A122" s="22"/>
      <c r="B122" s="28">
        <v>6540</v>
      </c>
      <c r="C122" s="29" t="s">
        <v>152</v>
      </c>
      <c r="D122" s="5">
        <f>N(47197.9)</f>
        <v>47197.9</v>
      </c>
      <c r="E122" s="30">
        <f>N(0)</f>
        <v>0</v>
      </c>
      <c r="F122" s="30">
        <f t="shared" si="104"/>
        <v>-47197.9</v>
      </c>
      <c r="G122" s="30"/>
      <c r="H122" s="31">
        <f t="shared" si="105"/>
        <v>0</v>
      </c>
      <c r="I122" s="32">
        <f>N(11779.1)</f>
        <v>11779.1</v>
      </c>
      <c r="J122" s="30">
        <f t="shared" si="106"/>
        <v>-35418.800000000003</v>
      </c>
      <c r="K122" s="30"/>
      <c r="L122" s="30">
        <f t="shared" si="107"/>
        <v>-300.69190345612145</v>
      </c>
      <c r="M122" s="5">
        <f>N(47197.9)</f>
        <v>47197.9</v>
      </c>
      <c r="N122" s="30">
        <f>N(0)</f>
        <v>0</v>
      </c>
      <c r="O122" s="30">
        <f t="shared" si="108"/>
        <v>-47197.9</v>
      </c>
      <c r="P122" s="30"/>
      <c r="Q122" s="30">
        <f t="shared" si="109"/>
        <v>0</v>
      </c>
      <c r="R122" s="32">
        <f>N(11779.1)</f>
        <v>11779.1</v>
      </c>
      <c r="S122" s="33">
        <f t="shared" si="110"/>
        <v>-35418.800000000003</v>
      </c>
      <c r="T122" s="34"/>
      <c r="U122" s="34">
        <f t="shared" si="111"/>
        <v>-300.69190345612145</v>
      </c>
    </row>
    <row r="123" spans="1:21" hidden="1" outlineLevel="2">
      <c r="A123" s="22"/>
      <c r="B123" s="28">
        <v>6550</v>
      </c>
      <c r="C123" s="29" t="s">
        <v>153</v>
      </c>
      <c r="D123" s="5">
        <f>N(105703.22)</f>
        <v>105703.22</v>
      </c>
      <c r="E123" s="30">
        <f>N(11500)</f>
        <v>11500</v>
      </c>
      <c r="F123" s="30">
        <f t="shared" si="104"/>
        <v>-94203.22</v>
      </c>
      <c r="G123" s="30"/>
      <c r="H123" s="31">
        <f t="shared" si="105"/>
        <v>-819.15843478260865</v>
      </c>
      <c r="I123" s="32">
        <f>N(99957.78)</f>
        <v>99957.78</v>
      </c>
      <c r="J123" s="30">
        <f t="shared" si="106"/>
        <v>-5745.4400000000023</v>
      </c>
      <c r="K123" s="30"/>
      <c r="L123" s="30">
        <f t="shared" si="107"/>
        <v>-5.7478667493415747</v>
      </c>
      <c r="M123" s="5">
        <f>N(105703.22)</f>
        <v>105703.22</v>
      </c>
      <c r="N123" s="30">
        <f>N(11500)</f>
        <v>11500</v>
      </c>
      <c r="O123" s="30">
        <f t="shared" si="108"/>
        <v>-94203.22</v>
      </c>
      <c r="P123" s="30"/>
      <c r="Q123" s="30">
        <f t="shared" si="109"/>
        <v>-819.15843478260865</v>
      </c>
      <c r="R123" s="32">
        <f>N(99957.78)</f>
        <v>99957.78</v>
      </c>
      <c r="S123" s="33">
        <f t="shared" si="110"/>
        <v>-5745.4400000000023</v>
      </c>
      <c r="T123" s="34"/>
      <c r="U123" s="34">
        <f t="shared" si="111"/>
        <v>-5.7478667493415747</v>
      </c>
    </row>
    <row r="124" spans="1:21" hidden="1" outlineLevel="2">
      <c r="A124" s="22"/>
      <c r="B124" s="28">
        <v>6551</v>
      </c>
      <c r="C124" s="29" t="s">
        <v>154</v>
      </c>
      <c r="D124" s="5">
        <f>N(153905.24)</f>
        <v>153905.24</v>
      </c>
      <c r="E124" s="30">
        <f>N(106200)</f>
        <v>106200</v>
      </c>
      <c r="F124" s="30">
        <f t="shared" si="104"/>
        <v>-47705.239999999991</v>
      </c>
      <c r="G124" s="30"/>
      <c r="H124" s="31">
        <f t="shared" si="105"/>
        <v>-44.920188323917131</v>
      </c>
      <c r="I124" s="32">
        <f>N(176465.23)</f>
        <v>176465.23</v>
      </c>
      <c r="J124" s="30">
        <f t="shared" si="106"/>
        <v>22559.99000000002</v>
      </c>
      <c r="K124" s="30"/>
      <c r="L124" s="30">
        <f t="shared" si="107"/>
        <v>12.784382509800949</v>
      </c>
      <c r="M124" s="5">
        <f>N(153905.24)</f>
        <v>153905.24</v>
      </c>
      <c r="N124" s="30">
        <f>N(106200)</f>
        <v>106200</v>
      </c>
      <c r="O124" s="30">
        <f t="shared" si="108"/>
        <v>-47705.239999999991</v>
      </c>
      <c r="P124" s="30"/>
      <c r="Q124" s="30">
        <f t="shared" si="109"/>
        <v>-44.920188323917131</v>
      </c>
      <c r="R124" s="32">
        <f>N(176465.23)</f>
        <v>176465.23</v>
      </c>
      <c r="S124" s="33">
        <f t="shared" si="110"/>
        <v>22559.99000000002</v>
      </c>
      <c r="T124" s="34"/>
      <c r="U124" s="34">
        <f t="shared" si="111"/>
        <v>12.784382509800949</v>
      </c>
    </row>
    <row r="125" spans="1:21" hidden="1" outlineLevel="2">
      <c r="A125" s="22"/>
      <c r="B125" s="28">
        <v>6590</v>
      </c>
      <c r="C125" s="29" t="s">
        <v>155</v>
      </c>
      <c r="D125" s="5">
        <f>N(676)</f>
        <v>676</v>
      </c>
      <c r="E125" s="30">
        <f>N(20000)</f>
        <v>20000</v>
      </c>
      <c r="F125" s="30">
        <f t="shared" si="104"/>
        <v>19324</v>
      </c>
      <c r="G125" s="30"/>
      <c r="H125" s="31">
        <f t="shared" si="105"/>
        <v>96.62</v>
      </c>
      <c r="I125" s="32">
        <f>N(0)</f>
        <v>0</v>
      </c>
      <c r="J125" s="30">
        <f t="shared" si="106"/>
        <v>-676</v>
      </c>
      <c r="K125" s="30"/>
      <c r="L125" s="30">
        <f t="shared" si="107"/>
        <v>0</v>
      </c>
      <c r="M125" s="5">
        <f>N(676)</f>
        <v>676</v>
      </c>
      <c r="N125" s="30">
        <f>N(20000)</f>
        <v>20000</v>
      </c>
      <c r="O125" s="30">
        <f t="shared" si="108"/>
        <v>19324</v>
      </c>
      <c r="P125" s="30"/>
      <c r="Q125" s="30">
        <f t="shared" si="109"/>
        <v>96.62</v>
      </c>
      <c r="R125" s="32">
        <f>N(0)</f>
        <v>0</v>
      </c>
      <c r="S125" s="33">
        <f t="shared" si="110"/>
        <v>-676</v>
      </c>
      <c r="T125" s="34"/>
      <c r="U125" s="34">
        <f t="shared" si="111"/>
        <v>0</v>
      </c>
    </row>
    <row r="126" spans="1:21" hidden="1" outlineLevel="1" collapsed="1">
      <c r="A126" s="22"/>
      <c r="B126" s="35" t="str">
        <f>"    "&amp;"Verktøy, inventar og driftsmateriell"</f>
        <v xml:space="preserve">    Verktøy, inventar og driftsmateriell</v>
      </c>
      <c r="C126" s="36"/>
      <c r="D126" s="37">
        <f t="shared" ref="D126:E126" si="118">SUM(D122:D125)</f>
        <v>307482.36</v>
      </c>
      <c r="E126" s="33">
        <f t="shared" si="118"/>
        <v>137700</v>
      </c>
      <c r="F126" s="33">
        <f t="shared" si="104"/>
        <v>-169782.36</v>
      </c>
      <c r="G126" s="33"/>
      <c r="H126" s="38">
        <f t="shared" si="105"/>
        <v>-123.29873638344226</v>
      </c>
      <c r="I126" s="39">
        <f>SUM(I122:I125)</f>
        <v>288202.11</v>
      </c>
      <c r="J126" s="33">
        <f t="shared" si="106"/>
        <v>-19280.25</v>
      </c>
      <c r="K126" s="33"/>
      <c r="L126" s="33">
        <f t="shared" si="107"/>
        <v>-6.6898365178520036</v>
      </c>
      <c r="M126" s="37">
        <f t="shared" ref="M126:N126" si="119">SUM(M122:M125)</f>
        <v>307482.36</v>
      </c>
      <c r="N126" s="33">
        <f t="shared" si="119"/>
        <v>137700</v>
      </c>
      <c r="O126" s="33">
        <f t="shared" si="108"/>
        <v>-169782.36</v>
      </c>
      <c r="P126" s="33"/>
      <c r="Q126" s="33">
        <f t="shared" si="109"/>
        <v>-123.29873638344226</v>
      </c>
      <c r="R126" s="39">
        <f>SUM(R122:R125)</f>
        <v>288202.11</v>
      </c>
      <c r="S126" s="33">
        <f t="shared" si="110"/>
        <v>-19280.25</v>
      </c>
      <c r="T126" s="34"/>
      <c r="U126" s="34">
        <f t="shared" si="111"/>
        <v>-6.6898365178520036</v>
      </c>
    </row>
    <row r="127" spans="1:21" hidden="1" outlineLevel="2">
      <c r="A127" s="22"/>
      <c r="B127" s="28">
        <v>6701</v>
      </c>
      <c r="C127" s="29" t="s">
        <v>156</v>
      </c>
      <c r="D127" s="5">
        <f>N(302562.5)</f>
        <v>302562.5</v>
      </c>
      <c r="E127" s="30">
        <f>N(250000)</f>
        <v>250000</v>
      </c>
      <c r="F127" s="30">
        <f t="shared" si="104"/>
        <v>-52562.5</v>
      </c>
      <c r="G127" s="30"/>
      <c r="H127" s="31">
        <f t="shared" si="105"/>
        <v>-21.024999999999999</v>
      </c>
      <c r="I127" s="32">
        <f>N(234742.15)</f>
        <v>234742.15</v>
      </c>
      <c r="J127" s="30">
        <f t="shared" si="106"/>
        <v>-67820.350000000006</v>
      </c>
      <c r="K127" s="30"/>
      <c r="L127" s="30">
        <f t="shared" si="107"/>
        <v>-28.891424058269898</v>
      </c>
      <c r="M127" s="5">
        <f>N(302562.5)</f>
        <v>302562.5</v>
      </c>
      <c r="N127" s="30">
        <f>N(250000)</f>
        <v>250000</v>
      </c>
      <c r="O127" s="30">
        <f t="shared" si="108"/>
        <v>-52562.5</v>
      </c>
      <c r="P127" s="30"/>
      <c r="Q127" s="30">
        <f t="shared" si="109"/>
        <v>-21.024999999999999</v>
      </c>
      <c r="R127" s="32">
        <f>N(234742.15)</f>
        <v>234742.15</v>
      </c>
      <c r="S127" s="33">
        <f t="shared" si="110"/>
        <v>-67820.350000000006</v>
      </c>
      <c r="T127" s="34"/>
      <c r="U127" s="34">
        <f t="shared" si="111"/>
        <v>-28.891424058269898</v>
      </c>
    </row>
    <row r="128" spans="1:21" hidden="1" outlineLevel="2">
      <c r="A128" s="22"/>
      <c r="B128" s="28">
        <v>6705</v>
      </c>
      <c r="C128" s="29" t="s">
        <v>157</v>
      </c>
      <c r="D128" s="5">
        <f>N(1009597)</f>
        <v>1009597</v>
      </c>
      <c r="E128" s="30">
        <f>N(1000000)</f>
        <v>1000000</v>
      </c>
      <c r="F128" s="30">
        <f t="shared" si="104"/>
        <v>-9597</v>
      </c>
      <c r="G128" s="30"/>
      <c r="H128" s="31">
        <f t="shared" si="105"/>
        <v>-0.9597</v>
      </c>
      <c r="I128" s="32">
        <f>N(910725.74)</f>
        <v>910725.74</v>
      </c>
      <c r="J128" s="30">
        <f t="shared" si="106"/>
        <v>-98871.260000000009</v>
      </c>
      <c r="K128" s="30"/>
      <c r="L128" s="30">
        <f t="shared" si="107"/>
        <v>-10.856315535783583</v>
      </c>
      <c r="M128" s="5">
        <f>N(1009597)</f>
        <v>1009597</v>
      </c>
      <c r="N128" s="30">
        <f>N(1000000)</f>
        <v>1000000</v>
      </c>
      <c r="O128" s="30">
        <f t="shared" si="108"/>
        <v>-9597</v>
      </c>
      <c r="P128" s="30"/>
      <c r="Q128" s="30">
        <f t="shared" si="109"/>
        <v>-0.9597</v>
      </c>
      <c r="R128" s="32">
        <f>N(910725.74)</f>
        <v>910725.74</v>
      </c>
      <c r="S128" s="33">
        <f t="shared" si="110"/>
        <v>-98871.260000000009</v>
      </c>
      <c r="T128" s="34"/>
      <c r="U128" s="34">
        <f t="shared" si="111"/>
        <v>-10.856315535783583</v>
      </c>
    </row>
    <row r="129" spans="1:21" hidden="1" outlineLevel="2">
      <c r="A129" s="22"/>
      <c r="B129" s="28">
        <v>6790</v>
      </c>
      <c r="C129" s="29" t="s">
        <v>158</v>
      </c>
      <c r="D129" s="5">
        <f>N(823043.62)</f>
        <v>823043.62</v>
      </c>
      <c r="E129" s="30">
        <f>N(632000)</f>
        <v>632000</v>
      </c>
      <c r="F129" s="30">
        <f t="shared" si="104"/>
        <v>-191043.62</v>
      </c>
      <c r="G129" s="30"/>
      <c r="H129" s="31">
        <f t="shared" si="105"/>
        <v>-30.228420886075948</v>
      </c>
      <c r="I129" s="32">
        <f>N(658151.79)</f>
        <v>658151.79</v>
      </c>
      <c r="J129" s="30">
        <f t="shared" si="106"/>
        <v>-164891.82999999996</v>
      </c>
      <c r="K129" s="30"/>
      <c r="L129" s="30">
        <f t="shared" si="107"/>
        <v>-25.053769131282003</v>
      </c>
      <c r="M129" s="5">
        <f>N(823043.62)</f>
        <v>823043.62</v>
      </c>
      <c r="N129" s="30">
        <f>N(632000)</f>
        <v>632000</v>
      </c>
      <c r="O129" s="30">
        <f t="shared" si="108"/>
        <v>-191043.62</v>
      </c>
      <c r="P129" s="30"/>
      <c r="Q129" s="30">
        <f t="shared" si="109"/>
        <v>-30.228420886075948</v>
      </c>
      <c r="R129" s="32">
        <f>N(658151.79)</f>
        <v>658151.79</v>
      </c>
      <c r="S129" s="33">
        <f t="shared" si="110"/>
        <v>-164891.82999999996</v>
      </c>
      <c r="T129" s="34"/>
      <c r="U129" s="34">
        <f t="shared" si="111"/>
        <v>-25.053769131282003</v>
      </c>
    </row>
    <row r="130" spans="1:21" hidden="1" outlineLevel="2">
      <c r="A130" s="22"/>
      <c r="B130" s="28">
        <v>6792</v>
      </c>
      <c r="C130" s="29" t="s">
        <v>159</v>
      </c>
      <c r="D130" s="5">
        <f>N(0)</f>
        <v>0</v>
      </c>
      <c r="E130" s="30">
        <f>N(25000)</f>
        <v>25000</v>
      </c>
      <c r="F130" s="30">
        <f t="shared" si="104"/>
        <v>25000</v>
      </c>
      <c r="G130" s="30"/>
      <c r="H130" s="31">
        <f t="shared" si="105"/>
        <v>100</v>
      </c>
      <c r="I130" s="32">
        <f>N(0)</f>
        <v>0</v>
      </c>
      <c r="J130" s="30">
        <f t="shared" si="106"/>
        <v>0</v>
      </c>
      <c r="K130" s="30"/>
      <c r="L130" s="30">
        <f t="shared" si="107"/>
        <v>0</v>
      </c>
      <c r="M130" s="5">
        <f>N(0)</f>
        <v>0</v>
      </c>
      <c r="N130" s="30">
        <f>N(25000)</f>
        <v>25000</v>
      </c>
      <c r="O130" s="30">
        <f t="shared" si="108"/>
        <v>25000</v>
      </c>
      <c r="P130" s="30"/>
      <c r="Q130" s="30">
        <f t="shared" si="109"/>
        <v>100</v>
      </c>
      <c r="R130" s="32">
        <f>N(0)</f>
        <v>0</v>
      </c>
      <c r="S130" s="33">
        <f t="shared" si="110"/>
        <v>0</v>
      </c>
      <c r="T130" s="34"/>
      <c r="U130" s="34">
        <f t="shared" si="111"/>
        <v>0</v>
      </c>
    </row>
    <row r="131" spans="1:21" hidden="1" outlineLevel="1" collapsed="1">
      <c r="A131" s="22"/>
      <c r="B131" s="35" t="str">
        <f>"    "&amp;"Fremmed tjeneste"</f>
        <v xml:space="preserve">    Fremmed tjeneste</v>
      </c>
      <c r="C131" s="36"/>
      <c r="D131" s="37">
        <f t="shared" ref="D131:E131" si="120">SUM(D127:D130)</f>
        <v>2135203.12</v>
      </c>
      <c r="E131" s="33">
        <f t="shared" si="120"/>
        <v>1907000</v>
      </c>
      <c r="F131" s="33">
        <f t="shared" si="104"/>
        <v>-228203.12000000011</v>
      </c>
      <c r="G131" s="33"/>
      <c r="H131" s="38">
        <f t="shared" si="105"/>
        <v>-11.96660304142633</v>
      </c>
      <c r="I131" s="39">
        <f>SUM(I127:I130)</f>
        <v>1803619.68</v>
      </c>
      <c r="J131" s="33">
        <f t="shared" si="106"/>
        <v>-331583.44000000018</v>
      </c>
      <c r="K131" s="33"/>
      <c r="L131" s="33">
        <f t="shared" si="107"/>
        <v>-18.384332555076146</v>
      </c>
      <c r="M131" s="37">
        <f t="shared" ref="M131:N131" si="121">SUM(M127:M130)</f>
        <v>2135203.12</v>
      </c>
      <c r="N131" s="33">
        <f t="shared" si="121"/>
        <v>1907000</v>
      </c>
      <c r="O131" s="33">
        <f t="shared" si="108"/>
        <v>-228203.12000000011</v>
      </c>
      <c r="P131" s="33"/>
      <c r="Q131" s="33">
        <f t="shared" si="109"/>
        <v>-11.96660304142633</v>
      </c>
      <c r="R131" s="39">
        <f>SUM(R127:R130)</f>
        <v>1803619.68</v>
      </c>
      <c r="S131" s="33">
        <f t="shared" si="110"/>
        <v>-331583.44000000018</v>
      </c>
      <c r="T131" s="34"/>
      <c r="U131" s="34">
        <f t="shared" si="111"/>
        <v>-18.384332555076146</v>
      </c>
    </row>
    <row r="132" spans="1:21" hidden="1" outlineLevel="2">
      <c r="A132" s="22"/>
      <c r="B132" s="28">
        <v>6800</v>
      </c>
      <c r="C132" s="29" t="s">
        <v>160</v>
      </c>
      <c r="D132" s="5">
        <f>N(25188.11)</f>
        <v>25188.11</v>
      </c>
      <c r="E132" s="30">
        <f>N(21000)</f>
        <v>21000</v>
      </c>
      <c r="F132" s="30">
        <f t="shared" si="104"/>
        <v>-4188.1100000000006</v>
      </c>
      <c r="G132" s="30"/>
      <c r="H132" s="31">
        <f t="shared" si="105"/>
        <v>-19.943380952380956</v>
      </c>
      <c r="I132" s="32">
        <f>N(36993.13)</f>
        <v>36993.129999999997</v>
      </c>
      <c r="J132" s="30">
        <f t="shared" si="106"/>
        <v>11805.019999999997</v>
      </c>
      <c r="K132" s="30"/>
      <c r="L132" s="30">
        <f t="shared" si="107"/>
        <v>31.911384627361887</v>
      </c>
      <c r="M132" s="5">
        <f>N(25188.11)</f>
        <v>25188.11</v>
      </c>
      <c r="N132" s="30">
        <f>N(21000)</f>
        <v>21000</v>
      </c>
      <c r="O132" s="30">
        <f t="shared" si="108"/>
        <v>-4188.1100000000006</v>
      </c>
      <c r="P132" s="30"/>
      <c r="Q132" s="30">
        <f t="shared" si="109"/>
        <v>-19.943380952380956</v>
      </c>
      <c r="R132" s="32">
        <f>N(36993.13)</f>
        <v>36993.129999999997</v>
      </c>
      <c r="S132" s="33">
        <f t="shared" si="110"/>
        <v>11805.019999999997</v>
      </c>
      <c r="T132" s="34"/>
      <c r="U132" s="34">
        <f t="shared" si="111"/>
        <v>31.911384627361887</v>
      </c>
    </row>
    <row r="133" spans="1:21" hidden="1" outlineLevel="2">
      <c r="A133" s="22"/>
      <c r="B133" s="28">
        <v>6820</v>
      </c>
      <c r="C133" s="29" t="s">
        <v>161</v>
      </c>
      <c r="D133" s="5">
        <f>N(92695.68)</f>
        <v>92695.679999999993</v>
      </c>
      <c r="E133" s="30">
        <f>N(140000)</f>
        <v>140000</v>
      </c>
      <c r="F133" s="30">
        <f t="shared" si="104"/>
        <v>47304.320000000007</v>
      </c>
      <c r="G133" s="30"/>
      <c r="H133" s="31">
        <f t="shared" si="105"/>
        <v>33.788800000000009</v>
      </c>
      <c r="I133" s="32">
        <f>N(229451.63)</f>
        <v>229451.63</v>
      </c>
      <c r="J133" s="30">
        <f t="shared" si="106"/>
        <v>136755.95000000001</v>
      </c>
      <c r="K133" s="30"/>
      <c r="L133" s="30">
        <f t="shared" si="107"/>
        <v>59.601210939316495</v>
      </c>
      <c r="M133" s="5">
        <f>N(92695.68)</f>
        <v>92695.679999999993</v>
      </c>
      <c r="N133" s="30">
        <f>N(140000)</f>
        <v>140000</v>
      </c>
      <c r="O133" s="30">
        <f t="shared" si="108"/>
        <v>47304.320000000007</v>
      </c>
      <c r="P133" s="30"/>
      <c r="Q133" s="30">
        <f t="shared" si="109"/>
        <v>33.788800000000009</v>
      </c>
      <c r="R133" s="32">
        <f>N(229451.63)</f>
        <v>229451.63</v>
      </c>
      <c r="S133" s="33">
        <f t="shared" si="110"/>
        <v>136755.95000000001</v>
      </c>
      <c r="T133" s="34"/>
      <c r="U133" s="34">
        <f t="shared" si="111"/>
        <v>59.601210939316495</v>
      </c>
    </row>
    <row r="134" spans="1:21" hidden="1" outlineLevel="2">
      <c r="A134" s="22"/>
      <c r="B134" s="28">
        <v>6840</v>
      </c>
      <c r="C134" s="29" t="s">
        <v>162</v>
      </c>
      <c r="D134" s="5">
        <f>N(34314.62)</f>
        <v>34314.620000000003</v>
      </c>
      <c r="E134" s="30">
        <f>N(49200)</f>
        <v>49200</v>
      </c>
      <c r="F134" s="30">
        <f t="shared" si="104"/>
        <v>14885.379999999997</v>
      </c>
      <c r="G134" s="30"/>
      <c r="H134" s="31">
        <f t="shared" si="105"/>
        <v>30.254837398373979</v>
      </c>
      <c r="I134" s="32">
        <f>N(30538.1)</f>
        <v>30538.1</v>
      </c>
      <c r="J134" s="30">
        <f t="shared" si="106"/>
        <v>-3776.5200000000041</v>
      </c>
      <c r="K134" s="30"/>
      <c r="L134" s="30">
        <f t="shared" si="107"/>
        <v>-12.366584692564384</v>
      </c>
      <c r="M134" s="5">
        <f>N(34314.62)</f>
        <v>34314.620000000003</v>
      </c>
      <c r="N134" s="30">
        <f>N(49200)</f>
        <v>49200</v>
      </c>
      <c r="O134" s="30">
        <f t="shared" si="108"/>
        <v>14885.379999999997</v>
      </c>
      <c r="P134" s="30"/>
      <c r="Q134" s="30">
        <f t="shared" si="109"/>
        <v>30.254837398373979</v>
      </c>
      <c r="R134" s="32">
        <f>N(30538.1)</f>
        <v>30538.1</v>
      </c>
      <c r="S134" s="33">
        <f t="shared" si="110"/>
        <v>-3776.5200000000041</v>
      </c>
      <c r="T134" s="34"/>
      <c r="U134" s="34">
        <f t="shared" si="111"/>
        <v>-12.366584692564384</v>
      </c>
    </row>
    <row r="135" spans="1:21" hidden="1" outlineLevel="2">
      <c r="A135" s="22"/>
      <c r="B135" s="28">
        <v>6842</v>
      </c>
      <c r="C135" s="29" t="s">
        <v>163</v>
      </c>
      <c r="D135" s="5">
        <f>N(1196)</f>
        <v>1196</v>
      </c>
      <c r="E135" s="30">
        <f>N(0)</f>
        <v>0</v>
      </c>
      <c r="F135" s="30">
        <f t="shared" si="104"/>
        <v>-1196</v>
      </c>
      <c r="G135" s="30"/>
      <c r="H135" s="31">
        <f t="shared" si="105"/>
        <v>0</v>
      </c>
      <c r="I135" s="32">
        <f>N(0)</f>
        <v>0</v>
      </c>
      <c r="J135" s="30">
        <f t="shared" si="106"/>
        <v>-1196</v>
      </c>
      <c r="K135" s="30"/>
      <c r="L135" s="30">
        <f t="shared" si="107"/>
        <v>0</v>
      </c>
      <c r="M135" s="5">
        <f>N(1196)</f>
        <v>1196</v>
      </c>
      <c r="N135" s="30">
        <f>N(0)</f>
        <v>0</v>
      </c>
      <c r="O135" s="30">
        <f t="shared" si="108"/>
        <v>-1196</v>
      </c>
      <c r="P135" s="30"/>
      <c r="Q135" s="30">
        <f t="shared" si="109"/>
        <v>0</v>
      </c>
      <c r="R135" s="32">
        <f>N(0)</f>
        <v>0</v>
      </c>
      <c r="S135" s="33">
        <f t="shared" si="110"/>
        <v>-1196</v>
      </c>
      <c r="T135" s="34"/>
      <c r="U135" s="34">
        <f t="shared" si="111"/>
        <v>0</v>
      </c>
    </row>
    <row r="136" spans="1:21" hidden="1" outlineLevel="2">
      <c r="A136" s="22"/>
      <c r="B136" s="28">
        <v>6860</v>
      </c>
      <c r="C136" s="29" t="s">
        <v>164</v>
      </c>
      <c r="D136" s="5">
        <f>N(228517.44)</f>
        <v>228517.44</v>
      </c>
      <c r="E136" s="30">
        <f>N(614600)</f>
        <v>614600</v>
      </c>
      <c r="F136" s="30">
        <f t="shared" si="104"/>
        <v>386082.56</v>
      </c>
      <c r="G136" s="30"/>
      <c r="H136" s="31">
        <f t="shared" si="105"/>
        <v>62.81850959973967</v>
      </c>
      <c r="I136" s="32">
        <f>N(257944.54)</f>
        <v>257944.54</v>
      </c>
      <c r="J136" s="30">
        <f t="shared" si="106"/>
        <v>29427.100000000006</v>
      </c>
      <c r="K136" s="30"/>
      <c r="L136" s="30">
        <f t="shared" si="107"/>
        <v>11.408305056583094</v>
      </c>
      <c r="M136" s="5">
        <f>N(228517.44)</f>
        <v>228517.44</v>
      </c>
      <c r="N136" s="30">
        <f>N(614600)</f>
        <v>614600</v>
      </c>
      <c r="O136" s="30">
        <f t="shared" si="108"/>
        <v>386082.56</v>
      </c>
      <c r="P136" s="30"/>
      <c r="Q136" s="30">
        <f t="shared" si="109"/>
        <v>62.81850959973967</v>
      </c>
      <c r="R136" s="32">
        <f>N(257944.54)</f>
        <v>257944.54</v>
      </c>
      <c r="S136" s="33">
        <f t="shared" si="110"/>
        <v>29427.100000000006</v>
      </c>
      <c r="T136" s="34"/>
      <c r="U136" s="34">
        <f t="shared" si="111"/>
        <v>11.408305056583094</v>
      </c>
    </row>
    <row r="137" spans="1:21" hidden="1" outlineLevel="2">
      <c r="A137" s="22"/>
      <c r="B137" s="28">
        <v>6870</v>
      </c>
      <c r="C137" s="29" t="s">
        <v>165</v>
      </c>
      <c r="D137" s="5">
        <f>N(4025.25)</f>
        <v>4025.25</v>
      </c>
      <c r="E137" s="30">
        <f>N(40000)</f>
        <v>40000</v>
      </c>
      <c r="F137" s="30">
        <f t="shared" si="104"/>
        <v>35974.75</v>
      </c>
      <c r="G137" s="30"/>
      <c r="H137" s="31">
        <f t="shared" si="105"/>
        <v>89.936875000000001</v>
      </c>
      <c r="I137" s="32">
        <f>N(8376.03)</f>
        <v>8376.0300000000007</v>
      </c>
      <c r="J137" s="30">
        <f t="shared" si="106"/>
        <v>4350.7800000000007</v>
      </c>
      <c r="K137" s="30"/>
      <c r="L137" s="30">
        <f t="shared" si="107"/>
        <v>51.943223699055523</v>
      </c>
      <c r="M137" s="5">
        <f>N(4025.25)</f>
        <v>4025.25</v>
      </c>
      <c r="N137" s="30">
        <f>N(40000)</f>
        <v>40000</v>
      </c>
      <c r="O137" s="30">
        <f t="shared" si="108"/>
        <v>35974.75</v>
      </c>
      <c r="P137" s="30"/>
      <c r="Q137" s="30">
        <f t="shared" si="109"/>
        <v>89.936875000000001</v>
      </c>
      <c r="R137" s="32">
        <f>N(8376.03)</f>
        <v>8376.0300000000007</v>
      </c>
      <c r="S137" s="33">
        <f t="shared" si="110"/>
        <v>4350.7800000000007</v>
      </c>
      <c r="T137" s="34"/>
      <c r="U137" s="34">
        <f t="shared" si="111"/>
        <v>51.943223699055523</v>
      </c>
    </row>
    <row r="138" spans="1:21" hidden="1" outlineLevel="2">
      <c r="A138" s="22"/>
      <c r="B138" s="28">
        <v>6890</v>
      </c>
      <c r="C138" s="29" t="s">
        <v>166</v>
      </c>
      <c r="D138" s="5">
        <f>N(35679.48)</f>
        <v>35679.480000000003</v>
      </c>
      <c r="E138" s="30">
        <f>N(30000)</f>
        <v>30000</v>
      </c>
      <c r="F138" s="30">
        <f t="shared" si="104"/>
        <v>-5679.4800000000032</v>
      </c>
      <c r="G138" s="30"/>
      <c r="H138" s="31">
        <f t="shared" si="105"/>
        <v>-18.93160000000001</v>
      </c>
      <c r="I138" s="32">
        <f>N(69053.77)</f>
        <v>69053.77</v>
      </c>
      <c r="J138" s="30">
        <f t="shared" si="106"/>
        <v>33374.29</v>
      </c>
      <c r="K138" s="30"/>
      <c r="L138" s="30">
        <f t="shared" si="107"/>
        <v>48.330873173180841</v>
      </c>
      <c r="M138" s="5">
        <f>N(35679.48)</f>
        <v>35679.480000000003</v>
      </c>
      <c r="N138" s="30">
        <f>N(30000)</f>
        <v>30000</v>
      </c>
      <c r="O138" s="30">
        <f t="shared" si="108"/>
        <v>-5679.4800000000032</v>
      </c>
      <c r="P138" s="30"/>
      <c r="Q138" s="30">
        <f t="shared" si="109"/>
        <v>-18.93160000000001</v>
      </c>
      <c r="R138" s="32">
        <f>N(69053.77)</f>
        <v>69053.77</v>
      </c>
      <c r="S138" s="33">
        <f t="shared" si="110"/>
        <v>33374.29</v>
      </c>
      <c r="T138" s="34"/>
      <c r="U138" s="34">
        <f t="shared" si="111"/>
        <v>48.330873173180841</v>
      </c>
    </row>
    <row r="139" spans="1:21" hidden="1" outlineLevel="1" collapsed="1">
      <c r="A139" s="22"/>
      <c r="B139" s="35" t="str">
        <f>"    "&amp;"Kontor, oppdatering o.l."</f>
        <v xml:space="preserve">    Kontor, oppdatering o.l.</v>
      </c>
      <c r="C139" s="36"/>
      <c r="D139" s="37">
        <f t="shared" ref="D139:E139" si="122">SUM(D132:D138)</f>
        <v>421616.57999999996</v>
      </c>
      <c r="E139" s="33">
        <f t="shared" si="122"/>
        <v>894800</v>
      </c>
      <c r="F139" s="33">
        <f t="shared" si="104"/>
        <v>473183.42000000004</v>
      </c>
      <c r="G139" s="33"/>
      <c r="H139" s="38">
        <f t="shared" si="105"/>
        <v>52.881472954850253</v>
      </c>
      <c r="I139" s="39">
        <f>SUM(I132:I138)</f>
        <v>632357.20000000007</v>
      </c>
      <c r="J139" s="33">
        <f t="shared" si="106"/>
        <v>210740.62000000011</v>
      </c>
      <c r="K139" s="33"/>
      <c r="L139" s="33">
        <f t="shared" si="107"/>
        <v>33.326199179830652</v>
      </c>
      <c r="M139" s="37">
        <f t="shared" ref="M139:N139" si="123">SUM(M132:M138)</f>
        <v>421616.57999999996</v>
      </c>
      <c r="N139" s="33">
        <f t="shared" si="123"/>
        <v>894800</v>
      </c>
      <c r="O139" s="33">
        <f t="shared" si="108"/>
        <v>473183.42000000004</v>
      </c>
      <c r="P139" s="33"/>
      <c r="Q139" s="33">
        <f t="shared" si="109"/>
        <v>52.881472954850253</v>
      </c>
      <c r="R139" s="39">
        <f>SUM(R132:R138)</f>
        <v>632357.20000000007</v>
      </c>
      <c r="S139" s="33">
        <f t="shared" si="110"/>
        <v>210740.62000000011</v>
      </c>
      <c r="T139" s="34"/>
      <c r="U139" s="34">
        <f t="shared" si="111"/>
        <v>33.326199179830652</v>
      </c>
    </row>
    <row r="140" spans="1:21" hidden="1" outlineLevel="2">
      <c r="A140" s="22"/>
      <c r="B140" s="28">
        <v>6900</v>
      </c>
      <c r="C140" s="29" t="s">
        <v>167</v>
      </c>
      <c r="D140" s="5">
        <f>N(80626.18)</f>
        <v>80626.179999999993</v>
      </c>
      <c r="E140" s="30">
        <f>N(49500)</f>
        <v>49500</v>
      </c>
      <c r="F140" s="30">
        <f t="shared" si="104"/>
        <v>-31126.179999999993</v>
      </c>
      <c r="G140" s="30"/>
      <c r="H140" s="31">
        <f t="shared" si="105"/>
        <v>-62.881171717171696</v>
      </c>
      <c r="I140" s="32">
        <f>N(73278.88)</f>
        <v>73278.880000000005</v>
      </c>
      <c r="J140" s="30">
        <f t="shared" si="106"/>
        <v>-7347.2999999999884</v>
      </c>
      <c r="K140" s="30"/>
      <c r="L140" s="30">
        <f t="shared" si="107"/>
        <v>-10.026490579550327</v>
      </c>
      <c r="M140" s="5">
        <f>N(80626.18)</f>
        <v>80626.179999999993</v>
      </c>
      <c r="N140" s="30">
        <f>N(49500)</f>
        <v>49500</v>
      </c>
      <c r="O140" s="30">
        <f t="shared" si="108"/>
        <v>-31126.179999999993</v>
      </c>
      <c r="P140" s="30"/>
      <c r="Q140" s="30">
        <f t="shared" si="109"/>
        <v>-62.881171717171696</v>
      </c>
      <c r="R140" s="32">
        <f>N(73278.88)</f>
        <v>73278.880000000005</v>
      </c>
      <c r="S140" s="33">
        <f t="shared" si="110"/>
        <v>-7347.2999999999884</v>
      </c>
      <c r="T140" s="34"/>
      <c r="U140" s="34">
        <f t="shared" si="111"/>
        <v>-10.026490579550327</v>
      </c>
    </row>
    <row r="141" spans="1:21" hidden="1" outlineLevel="2">
      <c r="A141" s="22"/>
      <c r="B141" s="28">
        <v>6901</v>
      </c>
      <c r="C141" s="29" t="s">
        <v>168</v>
      </c>
      <c r="D141" s="5">
        <f>N(200.85)</f>
        <v>200.85</v>
      </c>
      <c r="E141" s="30">
        <f>N(0)</f>
        <v>0</v>
      </c>
      <c r="F141" s="30">
        <f t="shared" si="104"/>
        <v>-200.85</v>
      </c>
      <c r="G141" s="30"/>
      <c r="H141" s="31">
        <f t="shared" si="105"/>
        <v>0</v>
      </c>
      <c r="I141" s="32">
        <f>N(0)</f>
        <v>0</v>
      </c>
      <c r="J141" s="30">
        <f t="shared" si="106"/>
        <v>-200.85</v>
      </c>
      <c r="K141" s="30"/>
      <c r="L141" s="30">
        <f t="shared" si="107"/>
        <v>0</v>
      </c>
      <c r="M141" s="5">
        <f>N(200.85)</f>
        <v>200.85</v>
      </c>
      <c r="N141" s="30">
        <f>N(0)</f>
        <v>0</v>
      </c>
      <c r="O141" s="30">
        <f t="shared" si="108"/>
        <v>-200.85</v>
      </c>
      <c r="P141" s="30"/>
      <c r="Q141" s="30">
        <f t="shared" si="109"/>
        <v>0</v>
      </c>
      <c r="R141" s="32">
        <f>N(0)</f>
        <v>0</v>
      </c>
      <c r="S141" s="33">
        <f t="shared" si="110"/>
        <v>-200.85</v>
      </c>
      <c r="T141" s="34"/>
      <c r="U141" s="34">
        <f t="shared" si="111"/>
        <v>0</v>
      </c>
    </row>
    <row r="142" spans="1:21" hidden="1" outlineLevel="2">
      <c r="A142" s="22"/>
      <c r="B142" s="28">
        <v>6902</v>
      </c>
      <c r="C142" s="29" t="s">
        <v>169</v>
      </c>
      <c r="D142" s="5">
        <f>N(10586)</f>
        <v>10586</v>
      </c>
      <c r="E142" s="30">
        <f>N(48100)</f>
        <v>48100</v>
      </c>
      <c r="F142" s="30">
        <f t="shared" si="104"/>
        <v>37514</v>
      </c>
      <c r="G142" s="30"/>
      <c r="H142" s="31">
        <f t="shared" si="105"/>
        <v>77.991683991683985</v>
      </c>
      <c r="I142" s="32">
        <f>N(14922.5)</f>
        <v>14922.5</v>
      </c>
      <c r="J142" s="30">
        <f t="shared" si="106"/>
        <v>4336.5</v>
      </c>
      <c r="K142" s="30"/>
      <c r="L142" s="30">
        <f t="shared" si="107"/>
        <v>29.060144077734964</v>
      </c>
      <c r="M142" s="5">
        <f>N(10586)</f>
        <v>10586</v>
      </c>
      <c r="N142" s="30">
        <f>N(48100)</f>
        <v>48100</v>
      </c>
      <c r="O142" s="30">
        <f t="shared" si="108"/>
        <v>37514</v>
      </c>
      <c r="P142" s="30"/>
      <c r="Q142" s="30">
        <f t="shared" si="109"/>
        <v>77.991683991683985</v>
      </c>
      <c r="R142" s="32">
        <f>N(14922.5)</f>
        <v>14922.5</v>
      </c>
      <c r="S142" s="33">
        <f t="shared" si="110"/>
        <v>4336.5</v>
      </c>
      <c r="T142" s="34"/>
      <c r="U142" s="34">
        <f t="shared" si="111"/>
        <v>29.060144077734964</v>
      </c>
    </row>
    <row r="143" spans="1:21" hidden="1" outlineLevel="2">
      <c r="A143" s="22"/>
      <c r="B143" s="28">
        <v>6905</v>
      </c>
      <c r="C143" s="29" t="s">
        <v>170</v>
      </c>
      <c r="D143" s="5">
        <f>N(61597.17)</f>
        <v>61597.17</v>
      </c>
      <c r="E143" s="30">
        <f>N(20000)</f>
        <v>20000</v>
      </c>
      <c r="F143" s="30">
        <f t="shared" si="104"/>
        <v>-41597.17</v>
      </c>
      <c r="G143" s="30"/>
      <c r="H143" s="31">
        <f t="shared" si="105"/>
        <v>-207.98585</v>
      </c>
      <c r="I143" s="32">
        <f>N(8462.17)</f>
        <v>8462.17</v>
      </c>
      <c r="J143" s="30">
        <f t="shared" si="106"/>
        <v>-53135</v>
      </c>
      <c r="K143" s="30"/>
      <c r="L143" s="30">
        <f t="shared" si="107"/>
        <v>-627.91222582387263</v>
      </c>
      <c r="M143" s="5">
        <f>N(61597.17)</f>
        <v>61597.17</v>
      </c>
      <c r="N143" s="30">
        <f>N(20000)</f>
        <v>20000</v>
      </c>
      <c r="O143" s="30">
        <f t="shared" si="108"/>
        <v>-41597.17</v>
      </c>
      <c r="P143" s="30"/>
      <c r="Q143" s="30">
        <f t="shared" si="109"/>
        <v>-207.98585</v>
      </c>
      <c r="R143" s="32">
        <f>N(8462.17)</f>
        <v>8462.17</v>
      </c>
      <c r="S143" s="33">
        <f t="shared" si="110"/>
        <v>-53135</v>
      </c>
      <c r="T143" s="34"/>
      <c r="U143" s="34">
        <f t="shared" si="111"/>
        <v>-627.91222582387263</v>
      </c>
    </row>
    <row r="144" spans="1:21" hidden="1" outlineLevel="2">
      <c r="A144" s="22"/>
      <c r="B144" s="28">
        <v>6940</v>
      </c>
      <c r="C144" s="29" t="s">
        <v>171</v>
      </c>
      <c r="D144" s="5">
        <f>N(43871.72)</f>
        <v>43871.72</v>
      </c>
      <c r="E144" s="30">
        <f>N(10000)</f>
        <v>10000</v>
      </c>
      <c r="F144" s="30">
        <f t="shared" si="104"/>
        <v>-33871.72</v>
      </c>
      <c r="G144" s="30"/>
      <c r="H144" s="31">
        <f t="shared" si="105"/>
        <v>-338.71719999999999</v>
      </c>
      <c r="I144" s="32">
        <f>N(48387.4)</f>
        <v>48387.4</v>
      </c>
      <c r="J144" s="30">
        <f t="shared" si="106"/>
        <v>4515.68</v>
      </c>
      <c r="K144" s="30"/>
      <c r="L144" s="30">
        <f t="shared" si="107"/>
        <v>9.3323468506264025</v>
      </c>
      <c r="M144" s="5">
        <f>N(43871.72)</f>
        <v>43871.72</v>
      </c>
      <c r="N144" s="30">
        <f>N(10000)</f>
        <v>10000</v>
      </c>
      <c r="O144" s="30">
        <f t="shared" si="108"/>
        <v>-33871.72</v>
      </c>
      <c r="P144" s="30"/>
      <c r="Q144" s="30">
        <f t="shared" si="109"/>
        <v>-338.71719999999999</v>
      </c>
      <c r="R144" s="32">
        <f>N(48387.4)</f>
        <v>48387.4</v>
      </c>
      <c r="S144" s="33">
        <f t="shared" si="110"/>
        <v>4515.68</v>
      </c>
      <c r="T144" s="34"/>
      <c r="U144" s="34">
        <f t="shared" si="111"/>
        <v>9.3323468506264025</v>
      </c>
    </row>
    <row r="145" spans="1:21" hidden="1" outlineLevel="1" collapsed="1">
      <c r="A145" s="22"/>
      <c r="B145" s="35" t="str">
        <f>"    "&amp;"Telefon og porto o.l."</f>
        <v xml:space="preserve">    Telefon og porto o.l.</v>
      </c>
      <c r="C145" s="36"/>
      <c r="D145" s="37">
        <f t="shared" ref="D145:E145" si="124">SUM(D140:D144)</f>
        <v>196881.92000000001</v>
      </c>
      <c r="E145" s="33">
        <f t="shared" si="124"/>
        <v>127600</v>
      </c>
      <c r="F145" s="33">
        <f t="shared" si="104"/>
        <v>-69281.920000000013</v>
      </c>
      <c r="G145" s="33"/>
      <c r="H145" s="38">
        <f t="shared" si="105"/>
        <v>-54.296175548589346</v>
      </c>
      <c r="I145" s="39">
        <f>SUM(I140:I144)</f>
        <v>145050.95000000001</v>
      </c>
      <c r="J145" s="33">
        <f t="shared" si="106"/>
        <v>-51830.97</v>
      </c>
      <c r="K145" s="33"/>
      <c r="L145" s="33">
        <f t="shared" si="107"/>
        <v>-35.732940735651852</v>
      </c>
      <c r="M145" s="37">
        <f t="shared" ref="M145:N145" si="125">SUM(M140:M144)</f>
        <v>196881.92000000001</v>
      </c>
      <c r="N145" s="33">
        <f t="shared" si="125"/>
        <v>127600</v>
      </c>
      <c r="O145" s="33">
        <f t="shared" si="108"/>
        <v>-69281.920000000013</v>
      </c>
      <c r="P145" s="33"/>
      <c r="Q145" s="33">
        <f t="shared" si="109"/>
        <v>-54.296175548589346</v>
      </c>
      <c r="R145" s="39">
        <f>SUM(R140:R144)</f>
        <v>145050.95000000001</v>
      </c>
      <c r="S145" s="33">
        <f t="shared" si="110"/>
        <v>-51830.97</v>
      </c>
      <c r="T145" s="34"/>
      <c r="U145" s="34">
        <f t="shared" si="111"/>
        <v>-35.732940735651852</v>
      </c>
    </row>
    <row r="146" spans="1:21" hidden="1" outlineLevel="2">
      <c r="A146" s="22"/>
      <c r="B146" s="28">
        <v>7171</v>
      </c>
      <c r="C146" s="29" t="s">
        <v>172</v>
      </c>
      <c r="D146" s="5">
        <f>N(2210)</f>
        <v>2210</v>
      </c>
      <c r="E146" s="30">
        <f>N(0)</f>
        <v>0</v>
      </c>
      <c r="F146" s="30">
        <f t="shared" si="104"/>
        <v>-2210</v>
      </c>
      <c r="G146" s="30"/>
      <c r="H146" s="31">
        <f t="shared" si="105"/>
        <v>0</v>
      </c>
      <c r="I146" s="32">
        <f>N(1065.66)</f>
        <v>1065.6600000000001</v>
      </c>
      <c r="J146" s="30">
        <f t="shared" si="106"/>
        <v>-1144.3399999999999</v>
      </c>
      <c r="K146" s="30"/>
      <c r="L146" s="30">
        <f t="shared" si="107"/>
        <v>-107.38321791190434</v>
      </c>
      <c r="M146" s="5">
        <f>N(2210)</f>
        <v>2210</v>
      </c>
      <c r="N146" s="30">
        <f>N(0)</f>
        <v>0</v>
      </c>
      <c r="O146" s="30">
        <f t="shared" si="108"/>
        <v>-2210</v>
      </c>
      <c r="P146" s="30"/>
      <c r="Q146" s="30">
        <f t="shared" si="109"/>
        <v>0</v>
      </c>
      <c r="R146" s="32">
        <f>N(1065.66)</f>
        <v>1065.6600000000001</v>
      </c>
      <c r="S146" s="33">
        <f t="shared" si="110"/>
        <v>-1144.3399999999999</v>
      </c>
      <c r="T146" s="34"/>
      <c r="U146" s="34">
        <f t="shared" si="111"/>
        <v>-107.38321791190434</v>
      </c>
    </row>
    <row r="147" spans="1:21" hidden="1" outlineLevel="2">
      <c r="A147" s="22"/>
      <c r="B147" s="28">
        <v>7730</v>
      </c>
      <c r="C147" s="29" t="s">
        <v>173</v>
      </c>
      <c r="D147" s="5">
        <f>N(4600775.46)</f>
        <v>4600775.46</v>
      </c>
      <c r="E147" s="30">
        <f>N(4688342)</f>
        <v>4688342</v>
      </c>
      <c r="F147" s="30">
        <f t="shared" si="104"/>
        <v>87566.540000000037</v>
      </c>
      <c r="G147" s="30"/>
      <c r="H147" s="31">
        <f t="shared" si="105"/>
        <v>1.8677506888362674</v>
      </c>
      <c r="I147" s="32">
        <f>N(3510684.17)</f>
        <v>3510684.17</v>
      </c>
      <c r="J147" s="30">
        <f t="shared" si="106"/>
        <v>-1090091.29</v>
      </c>
      <c r="K147" s="30"/>
      <c r="L147" s="30">
        <f t="shared" si="107"/>
        <v>-31.050679503306046</v>
      </c>
      <c r="M147" s="5">
        <f>N(4600775.46)</f>
        <v>4600775.46</v>
      </c>
      <c r="N147" s="30">
        <f>N(4688342)</f>
        <v>4688342</v>
      </c>
      <c r="O147" s="30">
        <f t="shared" si="108"/>
        <v>87566.540000000037</v>
      </c>
      <c r="P147" s="30"/>
      <c r="Q147" s="30">
        <f t="shared" si="109"/>
        <v>1.8677506888362674</v>
      </c>
      <c r="R147" s="32">
        <f>N(3510684.17)</f>
        <v>3510684.17</v>
      </c>
      <c r="S147" s="33">
        <f t="shared" si="110"/>
        <v>-1090091.29</v>
      </c>
      <c r="T147" s="34"/>
      <c r="U147" s="34">
        <f t="shared" si="111"/>
        <v>-31.050679503306046</v>
      </c>
    </row>
    <row r="148" spans="1:21" hidden="1" outlineLevel="2">
      <c r="A148" s="22"/>
      <c r="B148" s="28">
        <v>7731</v>
      </c>
      <c r="C148" s="29" t="s">
        <v>174</v>
      </c>
      <c r="D148" s="5">
        <f>N(1764239.66)</f>
        <v>1764239.66</v>
      </c>
      <c r="E148" s="30">
        <f>N(3763064)</f>
        <v>3763064</v>
      </c>
      <c r="F148" s="30">
        <f t="shared" si="104"/>
        <v>1998824.34</v>
      </c>
      <c r="G148" s="30"/>
      <c r="H148" s="31">
        <f t="shared" si="105"/>
        <v>53.116937155466928</v>
      </c>
      <c r="I148" s="32">
        <f>N(2707375.8)</f>
        <v>2707375.8</v>
      </c>
      <c r="J148" s="30">
        <f t="shared" si="106"/>
        <v>943136.1399999999</v>
      </c>
      <c r="K148" s="30"/>
      <c r="L148" s="30">
        <f t="shared" si="107"/>
        <v>34.835804471621557</v>
      </c>
      <c r="M148" s="5">
        <f>N(1764239.66)</f>
        <v>1764239.66</v>
      </c>
      <c r="N148" s="30">
        <f>N(3763064)</f>
        <v>3763064</v>
      </c>
      <c r="O148" s="30">
        <f t="shared" si="108"/>
        <v>1998824.34</v>
      </c>
      <c r="P148" s="30"/>
      <c r="Q148" s="30">
        <f t="shared" si="109"/>
        <v>53.116937155466928</v>
      </c>
      <c r="R148" s="32">
        <f>N(2707375.8)</f>
        <v>2707375.8</v>
      </c>
      <c r="S148" s="33">
        <f t="shared" si="110"/>
        <v>943136.1399999999</v>
      </c>
      <c r="T148" s="34"/>
      <c r="U148" s="34">
        <f t="shared" si="111"/>
        <v>34.835804471621557</v>
      </c>
    </row>
    <row r="149" spans="1:21" hidden="1" outlineLevel="2">
      <c r="A149" s="22"/>
      <c r="B149" s="28">
        <v>7733</v>
      </c>
      <c r="C149" s="29" t="s">
        <v>336</v>
      </c>
      <c r="D149" s="5">
        <f>N(92257.34)</f>
        <v>92257.34</v>
      </c>
      <c r="E149" s="30">
        <f>N(0)</f>
        <v>0</v>
      </c>
      <c r="F149" s="30">
        <f t="shared" si="104"/>
        <v>-92257.34</v>
      </c>
      <c r="G149" s="30"/>
      <c r="H149" s="31">
        <f t="shared" si="105"/>
        <v>0</v>
      </c>
      <c r="I149" s="32">
        <f>N(0)</f>
        <v>0</v>
      </c>
      <c r="J149" s="30">
        <f t="shared" si="106"/>
        <v>-92257.34</v>
      </c>
      <c r="K149" s="30"/>
      <c r="L149" s="30">
        <f t="shared" si="107"/>
        <v>0</v>
      </c>
      <c r="M149" s="5">
        <f>N(92257.34)</f>
        <v>92257.34</v>
      </c>
      <c r="N149" s="30">
        <f>N(0)</f>
        <v>0</v>
      </c>
      <c r="O149" s="30">
        <f t="shared" si="108"/>
        <v>-92257.34</v>
      </c>
      <c r="P149" s="30"/>
      <c r="Q149" s="30">
        <f t="shared" si="109"/>
        <v>0</v>
      </c>
      <c r="R149" s="32">
        <f>N(0)</f>
        <v>0</v>
      </c>
      <c r="S149" s="33">
        <f t="shared" si="110"/>
        <v>-92257.34</v>
      </c>
      <c r="T149" s="34"/>
      <c r="U149" s="34">
        <f t="shared" si="111"/>
        <v>0</v>
      </c>
    </row>
    <row r="150" spans="1:21" hidden="1" outlineLevel="2">
      <c r="A150" s="22"/>
      <c r="B150" s="28">
        <v>7735</v>
      </c>
      <c r="C150" s="29" t="s">
        <v>175</v>
      </c>
      <c r="D150" s="5">
        <f>N(1480939.32)</f>
        <v>1480939.32</v>
      </c>
      <c r="E150" s="30">
        <f>N(2451714)</f>
        <v>2451714</v>
      </c>
      <c r="F150" s="30">
        <f t="shared" si="104"/>
        <v>970774.67999999993</v>
      </c>
      <c r="G150" s="30"/>
      <c r="H150" s="31">
        <f t="shared" si="105"/>
        <v>39.595755459241985</v>
      </c>
      <c r="I150" s="32">
        <f>N(1806761.65)</f>
        <v>1806761.65</v>
      </c>
      <c r="J150" s="30">
        <f t="shared" si="106"/>
        <v>325822.32999999984</v>
      </c>
      <c r="K150" s="30"/>
      <c r="L150" s="30">
        <f t="shared" si="107"/>
        <v>18.033498220421041</v>
      </c>
      <c r="M150" s="5">
        <f>N(1480939.32)</f>
        <v>1480939.32</v>
      </c>
      <c r="N150" s="30">
        <f>N(2451714)</f>
        <v>2451714</v>
      </c>
      <c r="O150" s="30">
        <f t="shared" si="108"/>
        <v>970774.67999999993</v>
      </c>
      <c r="P150" s="30"/>
      <c r="Q150" s="30">
        <f t="shared" si="109"/>
        <v>39.595755459241985</v>
      </c>
      <c r="R150" s="32">
        <f>N(1806761.65)</f>
        <v>1806761.65</v>
      </c>
      <c r="S150" s="33">
        <f t="shared" si="110"/>
        <v>325822.32999999984</v>
      </c>
      <c r="T150" s="34"/>
      <c r="U150" s="34">
        <f t="shared" si="111"/>
        <v>18.033498220421041</v>
      </c>
    </row>
    <row r="151" spans="1:21" hidden="1" outlineLevel="1" collapsed="1">
      <c r="A151" s="22"/>
      <c r="B151" s="35" t="str">
        <f>"    "&amp;"Evangelisering og misjon"</f>
        <v xml:space="preserve">    Evangelisering og misjon</v>
      </c>
      <c r="C151" s="36"/>
      <c r="D151" s="37">
        <f t="shared" ref="D151:E151" si="126">SUM(D146:D150)</f>
        <v>7940421.7800000003</v>
      </c>
      <c r="E151" s="33">
        <f t="shared" si="126"/>
        <v>10903120</v>
      </c>
      <c r="F151" s="33">
        <f t="shared" si="104"/>
        <v>2962698.2199999997</v>
      </c>
      <c r="G151" s="33"/>
      <c r="H151" s="38">
        <f t="shared" si="105"/>
        <v>27.17293967231398</v>
      </c>
      <c r="I151" s="39">
        <f>SUM(I146:I150)</f>
        <v>8025887.2799999993</v>
      </c>
      <c r="J151" s="33">
        <f t="shared" si="106"/>
        <v>85465.499999999069</v>
      </c>
      <c r="K151" s="33"/>
      <c r="L151" s="33">
        <f t="shared" si="107"/>
        <v>1.0648729170788838</v>
      </c>
      <c r="M151" s="37">
        <f t="shared" ref="M151:N151" si="127">SUM(M146:M150)</f>
        <v>7940421.7800000003</v>
      </c>
      <c r="N151" s="33">
        <f t="shared" si="127"/>
        <v>10903120</v>
      </c>
      <c r="O151" s="33">
        <f t="shared" si="108"/>
        <v>2962698.2199999997</v>
      </c>
      <c r="P151" s="33"/>
      <c r="Q151" s="33">
        <f t="shared" si="109"/>
        <v>27.17293967231398</v>
      </c>
      <c r="R151" s="39">
        <f>SUM(R146:R150)</f>
        <v>8025887.2799999993</v>
      </c>
      <c r="S151" s="33">
        <f t="shared" si="110"/>
        <v>85465.499999999069</v>
      </c>
      <c r="T151" s="34"/>
      <c r="U151" s="34">
        <f t="shared" si="111"/>
        <v>1.0648729170788838</v>
      </c>
    </row>
    <row r="152" spans="1:21" hidden="1" outlineLevel="2">
      <c r="A152" s="22"/>
      <c r="B152" s="28">
        <v>7100</v>
      </c>
      <c r="C152" s="29" t="s">
        <v>176</v>
      </c>
      <c r="D152" s="5">
        <f>N(102724.67)</f>
        <v>102724.67</v>
      </c>
      <c r="E152" s="30">
        <f>N(73000)</f>
        <v>73000</v>
      </c>
      <c r="F152" s="30">
        <f t="shared" si="104"/>
        <v>-29724.67</v>
      </c>
      <c r="G152" s="30"/>
      <c r="H152" s="31">
        <f t="shared" si="105"/>
        <v>-40.71872602739726</v>
      </c>
      <c r="I152" s="32">
        <f>N(149344.8)</f>
        <v>149344.79999999999</v>
      </c>
      <c r="J152" s="30">
        <f t="shared" si="106"/>
        <v>46620.12999999999</v>
      </c>
      <c r="K152" s="30"/>
      <c r="L152" s="30">
        <f t="shared" si="107"/>
        <v>31.216440076922662</v>
      </c>
      <c r="M152" s="5">
        <f>N(102724.67)</f>
        <v>102724.67</v>
      </c>
      <c r="N152" s="30">
        <f>N(73000)</f>
        <v>73000</v>
      </c>
      <c r="O152" s="30">
        <f t="shared" si="108"/>
        <v>-29724.67</v>
      </c>
      <c r="P152" s="30"/>
      <c r="Q152" s="30">
        <f t="shared" si="109"/>
        <v>-40.71872602739726</v>
      </c>
      <c r="R152" s="32">
        <f>N(149344.8)</f>
        <v>149344.79999999999</v>
      </c>
      <c r="S152" s="33">
        <f t="shared" si="110"/>
        <v>46620.12999999999</v>
      </c>
      <c r="T152" s="34"/>
      <c r="U152" s="34">
        <f t="shared" si="111"/>
        <v>31.216440076922662</v>
      </c>
    </row>
    <row r="153" spans="1:21" hidden="1" outlineLevel="2">
      <c r="A153" s="22"/>
      <c r="B153" s="28">
        <v>7101</v>
      </c>
      <c r="C153" s="29" t="s">
        <v>177</v>
      </c>
      <c r="D153" s="5">
        <f>N(256251)</f>
        <v>256251</v>
      </c>
      <c r="E153" s="30">
        <f>N(260200)</f>
        <v>260200</v>
      </c>
      <c r="F153" s="30">
        <f t="shared" si="104"/>
        <v>3949</v>
      </c>
      <c r="G153" s="30"/>
      <c r="H153" s="31">
        <f t="shared" si="105"/>
        <v>1.5176787086856265</v>
      </c>
      <c r="I153" s="32">
        <f>N(201901.4)</f>
        <v>201901.4</v>
      </c>
      <c r="J153" s="30">
        <f t="shared" si="106"/>
        <v>-54349.600000000006</v>
      </c>
      <c r="K153" s="30"/>
      <c r="L153" s="30">
        <f t="shared" si="107"/>
        <v>-26.918882187047743</v>
      </c>
      <c r="M153" s="5">
        <f>N(256251)</f>
        <v>256251</v>
      </c>
      <c r="N153" s="30">
        <f>N(260200)</f>
        <v>260200</v>
      </c>
      <c r="O153" s="30">
        <f t="shared" si="108"/>
        <v>3949</v>
      </c>
      <c r="P153" s="30"/>
      <c r="Q153" s="30">
        <f t="shared" si="109"/>
        <v>1.5176787086856265</v>
      </c>
      <c r="R153" s="32">
        <f>N(201901.4)</f>
        <v>201901.4</v>
      </c>
      <c r="S153" s="33">
        <f t="shared" si="110"/>
        <v>-54349.600000000006</v>
      </c>
      <c r="T153" s="34"/>
      <c r="U153" s="34">
        <f t="shared" si="111"/>
        <v>-26.918882187047743</v>
      </c>
    </row>
    <row r="154" spans="1:21" hidden="1" outlineLevel="2">
      <c r="A154" s="22"/>
      <c r="B154" s="28">
        <v>7140</v>
      </c>
      <c r="C154" s="29" t="s">
        <v>178</v>
      </c>
      <c r="D154" s="5">
        <f>N(1320707.52)</f>
        <v>1320707.52</v>
      </c>
      <c r="E154" s="30">
        <f>N(1837400)</f>
        <v>1837400</v>
      </c>
      <c r="F154" s="30">
        <f t="shared" si="104"/>
        <v>516692.47999999998</v>
      </c>
      <c r="G154" s="30"/>
      <c r="H154" s="31">
        <f t="shared" si="105"/>
        <v>28.120849025797323</v>
      </c>
      <c r="I154" s="32">
        <f>N(950924.08)</f>
        <v>950924.08</v>
      </c>
      <c r="J154" s="30">
        <f t="shared" si="106"/>
        <v>-369783.44000000006</v>
      </c>
      <c r="K154" s="30"/>
      <c r="L154" s="30">
        <f t="shared" si="107"/>
        <v>-38.886746878888594</v>
      </c>
      <c r="M154" s="5">
        <f>N(1320707.52)</f>
        <v>1320707.52</v>
      </c>
      <c r="N154" s="30">
        <f>N(1837400)</f>
        <v>1837400</v>
      </c>
      <c r="O154" s="30">
        <f t="shared" si="108"/>
        <v>516692.47999999998</v>
      </c>
      <c r="P154" s="30"/>
      <c r="Q154" s="30">
        <f t="shared" si="109"/>
        <v>28.120849025797323</v>
      </c>
      <c r="R154" s="32">
        <f>N(950924.08)</f>
        <v>950924.08</v>
      </c>
      <c r="S154" s="33">
        <f t="shared" si="110"/>
        <v>-369783.44000000006</v>
      </c>
      <c r="T154" s="34"/>
      <c r="U154" s="34">
        <f t="shared" si="111"/>
        <v>-38.886746878888594</v>
      </c>
    </row>
    <row r="155" spans="1:21" hidden="1" outlineLevel="2">
      <c r="A155" s="22"/>
      <c r="B155" s="28">
        <v>7141</v>
      </c>
      <c r="C155" s="29" t="s">
        <v>179</v>
      </c>
      <c r="D155" s="5">
        <f>N(747283.32)</f>
        <v>747283.32</v>
      </c>
      <c r="E155" s="30">
        <f>N(0)</f>
        <v>0</v>
      </c>
      <c r="F155" s="30">
        <f t="shared" si="104"/>
        <v>-747283.32</v>
      </c>
      <c r="G155" s="30"/>
      <c r="H155" s="31">
        <f t="shared" si="105"/>
        <v>0</v>
      </c>
      <c r="I155" s="32">
        <f>N(349000.59)</f>
        <v>349000.59</v>
      </c>
      <c r="J155" s="30">
        <f t="shared" si="106"/>
        <v>-398282.72999999992</v>
      </c>
      <c r="K155" s="30"/>
      <c r="L155" s="30">
        <f t="shared" si="107"/>
        <v>-114.12093314799264</v>
      </c>
      <c r="M155" s="5">
        <f>N(747283.32)</f>
        <v>747283.32</v>
      </c>
      <c r="N155" s="30">
        <f>N(0)</f>
        <v>0</v>
      </c>
      <c r="O155" s="30">
        <f t="shared" si="108"/>
        <v>-747283.32</v>
      </c>
      <c r="P155" s="30"/>
      <c r="Q155" s="30">
        <f t="shared" si="109"/>
        <v>0</v>
      </c>
      <c r="R155" s="32">
        <f>N(349000.59)</f>
        <v>349000.59</v>
      </c>
      <c r="S155" s="33">
        <f t="shared" si="110"/>
        <v>-398282.72999999992</v>
      </c>
      <c r="T155" s="34"/>
      <c r="U155" s="34">
        <f t="shared" si="111"/>
        <v>-114.12093314799264</v>
      </c>
    </row>
    <row r="156" spans="1:21" hidden="1" outlineLevel="2">
      <c r="A156" s="22"/>
      <c r="B156" s="28">
        <v>7150</v>
      </c>
      <c r="C156" s="29" t="s">
        <v>180</v>
      </c>
      <c r="D156" s="5">
        <f>N(29713.75)</f>
        <v>29713.75</v>
      </c>
      <c r="E156" s="30">
        <f>N(15000)</f>
        <v>15000</v>
      </c>
      <c r="F156" s="30">
        <f t="shared" si="104"/>
        <v>-14713.75</v>
      </c>
      <c r="G156" s="30"/>
      <c r="H156" s="31">
        <f t="shared" si="105"/>
        <v>-98.091666666666669</v>
      </c>
      <c r="I156" s="32">
        <f>N(15762)</f>
        <v>15762</v>
      </c>
      <c r="J156" s="30">
        <f t="shared" si="106"/>
        <v>-13951.75</v>
      </c>
      <c r="K156" s="30"/>
      <c r="L156" s="30">
        <f t="shared" si="107"/>
        <v>-88.515099606648903</v>
      </c>
      <c r="M156" s="5">
        <f>N(29713.75)</f>
        <v>29713.75</v>
      </c>
      <c r="N156" s="30">
        <f>N(15000)</f>
        <v>15000</v>
      </c>
      <c r="O156" s="30">
        <f t="shared" si="108"/>
        <v>-14713.75</v>
      </c>
      <c r="P156" s="30"/>
      <c r="Q156" s="30">
        <f t="shared" si="109"/>
        <v>-98.091666666666669</v>
      </c>
      <c r="R156" s="32">
        <f>N(15762)</f>
        <v>15762</v>
      </c>
      <c r="S156" s="33">
        <f t="shared" si="110"/>
        <v>-13951.75</v>
      </c>
      <c r="T156" s="34"/>
      <c r="U156" s="34">
        <f t="shared" si="111"/>
        <v>-88.515099606648903</v>
      </c>
    </row>
    <row r="157" spans="1:21" hidden="1" outlineLevel="2">
      <c r="A157" s="22"/>
      <c r="B157" s="28">
        <v>7151</v>
      </c>
      <c r="C157" s="29" t="s">
        <v>181</v>
      </c>
      <c r="D157" s="5">
        <f>N(8329.5)</f>
        <v>8329.5</v>
      </c>
      <c r="E157" s="30">
        <f t="shared" ref="E157:E158" si="128">N(0)</f>
        <v>0</v>
      </c>
      <c r="F157" s="30">
        <f t="shared" si="104"/>
        <v>-8329.5</v>
      </c>
      <c r="G157" s="30"/>
      <c r="H157" s="31">
        <f t="shared" si="105"/>
        <v>0</v>
      </c>
      <c r="I157" s="32">
        <f>N(5244)</f>
        <v>5244</v>
      </c>
      <c r="J157" s="30">
        <f t="shared" si="106"/>
        <v>-3085.5</v>
      </c>
      <c r="K157" s="30"/>
      <c r="L157" s="30">
        <f t="shared" si="107"/>
        <v>-58.838672768878716</v>
      </c>
      <c r="M157" s="5">
        <f>N(8329.5)</f>
        <v>8329.5</v>
      </c>
      <c r="N157" s="30">
        <f t="shared" ref="N157:N158" si="129">N(0)</f>
        <v>0</v>
      </c>
      <c r="O157" s="30">
        <f t="shared" si="108"/>
        <v>-8329.5</v>
      </c>
      <c r="P157" s="30"/>
      <c r="Q157" s="30">
        <f t="shared" si="109"/>
        <v>0</v>
      </c>
      <c r="R157" s="32">
        <f>N(5244)</f>
        <v>5244</v>
      </c>
      <c r="S157" s="33">
        <f t="shared" si="110"/>
        <v>-3085.5</v>
      </c>
      <c r="T157" s="34"/>
      <c r="U157" s="34">
        <f t="shared" si="111"/>
        <v>-58.838672768878716</v>
      </c>
    </row>
    <row r="158" spans="1:21" hidden="1" outlineLevel="2">
      <c r="A158" s="22"/>
      <c r="B158" s="28">
        <v>7170</v>
      </c>
      <c r="C158" s="29" t="s">
        <v>182</v>
      </c>
      <c r="D158" s="5">
        <f>N(134694.8)</f>
        <v>134694.79999999999</v>
      </c>
      <c r="E158" s="30">
        <f t="shared" si="128"/>
        <v>0</v>
      </c>
      <c r="F158" s="30">
        <f t="shared" si="104"/>
        <v>-134694.79999999999</v>
      </c>
      <c r="G158" s="30"/>
      <c r="H158" s="31">
        <f t="shared" si="105"/>
        <v>0</v>
      </c>
      <c r="I158" s="32">
        <f>N(0)</f>
        <v>0</v>
      </c>
      <c r="J158" s="30">
        <f t="shared" si="106"/>
        <v>-134694.79999999999</v>
      </c>
      <c r="K158" s="30"/>
      <c r="L158" s="30">
        <f t="shared" si="107"/>
        <v>0</v>
      </c>
      <c r="M158" s="5">
        <f>N(134694.8)</f>
        <v>134694.79999999999</v>
      </c>
      <c r="N158" s="30">
        <f t="shared" si="129"/>
        <v>0</v>
      </c>
      <c r="O158" s="30">
        <f t="shared" si="108"/>
        <v>-134694.79999999999</v>
      </c>
      <c r="P158" s="30"/>
      <c r="Q158" s="30">
        <f t="shared" si="109"/>
        <v>0</v>
      </c>
      <c r="R158" s="32">
        <f>N(0)</f>
        <v>0</v>
      </c>
      <c r="S158" s="33">
        <f t="shared" si="110"/>
        <v>-134694.79999999999</v>
      </c>
      <c r="T158" s="34"/>
      <c r="U158" s="34">
        <f t="shared" si="111"/>
        <v>0</v>
      </c>
    </row>
    <row r="159" spans="1:21" hidden="1" outlineLevel="1" collapsed="1">
      <c r="A159" s="22"/>
      <c r="B159" s="35" t="str">
        <f>"    "&amp;"Reise"</f>
        <v xml:space="preserve">    Reise</v>
      </c>
      <c r="C159" s="36"/>
      <c r="D159" s="37">
        <f t="shared" ref="D159:E159" si="130">SUM(D152:D158)</f>
        <v>2599704.5599999996</v>
      </c>
      <c r="E159" s="33">
        <f t="shared" si="130"/>
        <v>2185600</v>
      </c>
      <c r="F159" s="33">
        <f t="shared" si="104"/>
        <v>-414104.55999999959</v>
      </c>
      <c r="G159" s="33"/>
      <c r="H159" s="38">
        <f t="shared" si="105"/>
        <v>-18.946950951683728</v>
      </c>
      <c r="I159" s="39">
        <f>SUM(I152:I158)</f>
        <v>1672176.8699999999</v>
      </c>
      <c r="J159" s="33">
        <f t="shared" si="106"/>
        <v>-927527.68999999971</v>
      </c>
      <c r="K159" s="33"/>
      <c r="L159" s="33">
        <f t="shared" si="107"/>
        <v>-55.468276510725794</v>
      </c>
      <c r="M159" s="37">
        <f t="shared" ref="M159:N159" si="131">SUM(M152:M158)</f>
        <v>2599704.5599999996</v>
      </c>
      <c r="N159" s="33">
        <f t="shared" si="131"/>
        <v>2185600</v>
      </c>
      <c r="O159" s="33">
        <f t="shared" si="108"/>
        <v>-414104.55999999959</v>
      </c>
      <c r="P159" s="33"/>
      <c r="Q159" s="33">
        <f t="shared" si="109"/>
        <v>-18.946950951683728</v>
      </c>
      <c r="R159" s="39">
        <f>SUM(R152:R158)</f>
        <v>1672176.8699999999</v>
      </c>
      <c r="S159" s="33">
        <f t="shared" si="110"/>
        <v>-927527.68999999971</v>
      </c>
      <c r="T159" s="34"/>
      <c r="U159" s="34">
        <f t="shared" si="111"/>
        <v>-55.468276510725794</v>
      </c>
    </row>
    <row r="160" spans="1:21" hidden="1" outlineLevel="2">
      <c r="A160" s="22"/>
      <c r="B160" s="28">
        <v>7320</v>
      </c>
      <c r="C160" s="29" t="s">
        <v>183</v>
      </c>
      <c r="D160" s="5">
        <f>N(200206.25)</f>
        <v>200206.25</v>
      </c>
      <c r="E160" s="30">
        <f>N(40000)</f>
        <v>40000</v>
      </c>
      <c r="F160" s="30">
        <f t="shared" si="104"/>
        <v>-160206.25</v>
      </c>
      <c r="G160" s="30"/>
      <c r="H160" s="31">
        <f t="shared" si="105"/>
        <v>-400.515625</v>
      </c>
      <c r="I160" s="32">
        <f>N(163031.25)</f>
        <v>163031.25</v>
      </c>
      <c r="J160" s="30">
        <f t="shared" si="106"/>
        <v>-37175</v>
      </c>
      <c r="K160" s="30"/>
      <c r="L160" s="30">
        <f t="shared" si="107"/>
        <v>-22.802376844930038</v>
      </c>
      <c r="M160" s="5">
        <f>N(200206.25)</f>
        <v>200206.25</v>
      </c>
      <c r="N160" s="30">
        <f>N(40000)</f>
        <v>40000</v>
      </c>
      <c r="O160" s="30">
        <f t="shared" si="108"/>
        <v>-160206.25</v>
      </c>
      <c r="P160" s="30"/>
      <c r="Q160" s="30">
        <f t="shared" si="109"/>
        <v>-400.515625</v>
      </c>
      <c r="R160" s="32">
        <f>N(163031.25)</f>
        <v>163031.25</v>
      </c>
      <c r="S160" s="33">
        <f t="shared" si="110"/>
        <v>-37175</v>
      </c>
      <c r="T160" s="34"/>
      <c r="U160" s="34">
        <f t="shared" si="111"/>
        <v>-22.802376844930038</v>
      </c>
    </row>
    <row r="161" spans="1:21" hidden="1" outlineLevel="2">
      <c r="A161" s="22"/>
      <c r="B161" s="28">
        <v>7331</v>
      </c>
      <c r="C161" s="29" t="s">
        <v>184</v>
      </c>
      <c r="D161" s="5">
        <f t="shared" ref="D161:E161" si="132">N(0)</f>
        <v>0</v>
      </c>
      <c r="E161" s="30">
        <f t="shared" si="132"/>
        <v>0</v>
      </c>
      <c r="F161" s="30">
        <f t="shared" si="104"/>
        <v>0</v>
      </c>
      <c r="G161" s="30"/>
      <c r="H161" s="31">
        <f t="shared" si="105"/>
        <v>0</v>
      </c>
      <c r="I161" s="32">
        <f>N(1179)</f>
        <v>1179</v>
      </c>
      <c r="J161" s="30">
        <f t="shared" si="106"/>
        <v>1179</v>
      </c>
      <c r="K161" s="30"/>
      <c r="L161" s="30">
        <f t="shared" si="107"/>
        <v>100</v>
      </c>
      <c r="M161" s="5">
        <f t="shared" ref="M161:N161" si="133">N(0)</f>
        <v>0</v>
      </c>
      <c r="N161" s="30">
        <f t="shared" si="133"/>
        <v>0</v>
      </c>
      <c r="O161" s="30">
        <f t="shared" si="108"/>
        <v>0</v>
      </c>
      <c r="P161" s="30"/>
      <c r="Q161" s="30">
        <f t="shared" si="109"/>
        <v>0</v>
      </c>
      <c r="R161" s="32">
        <f>N(1179)</f>
        <v>1179</v>
      </c>
      <c r="S161" s="33">
        <f t="shared" si="110"/>
        <v>1179</v>
      </c>
      <c r="T161" s="34"/>
      <c r="U161" s="34">
        <f t="shared" si="111"/>
        <v>100</v>
      </c>
    </row>
    <row r="162" spans="1:21" hidden="1" outlineLevel="1" collapsed="1">
      <c r="A162" s="22"/>
      <c r="B162" s="35" t="str">
        <f>"    "&amp;"Salgs-, reklame- og representasjonskostnader"</f>
        <v xml:space="preserve">    Salgs-, reklame- og representasjonskostnader</v>
      </c>
      <c r="C162" s="36"/>
      <c r="D162" s="37">
        <f t="shared" ref="D162:E162" si="134">SUM(D160:D161)</f>
        <v>200206.25</v>
      </c>
      <c r="E162" s="33">
        <f t="shared" si="134"/>
        <v>40000</v>
      </c>
      <c r="F162" s="33">
        <f t="shared" si="104"/>
        <v>-160206.25</v>
      </c>
      <c r="G162" s="33"/>
      <c r="H162" s="38">
        <f t="shared" si="105"/>
        <v>-400.515625</v>
      </c>
      <c r="I162" s="39">
        <f>SUM(I160:I161)</f>
        <v>164210.25</v>
      </c>
      <c r="J162" s="33">
        <f t="shared" si="106"/>
        <v>-35996</v>
      </c>
      <c r="K162" s="33"/>
      <c r="L162" s="33">
        <f t="shared" si="107"/>
        <v>-21.920677911397128</v>
      </c>
      <c r="M162" s="37">
        <f t="shared" ref="M162:N162" si="135">SUM(M160:M161)</f>
        <v>200206.25</v>
      </c>
      <c r="N162" s="33">
        <f t="shared" si="135"/>
        <v>40000</v>
      </c>
      <c r="O162" s="33">
        <f t="shared" si="108"/>
        <v>-160206.25</v>
      </c>
      <c r="P162" s="33"/>
      <c r="Q162" s="33">
        <f t="shared" si="109"/>
        <v>-400.515625</v>
      </c>
      <c r="R162" s="39">
        <f>SUM(R160:R161)</f>
        <v>164210.25</v>
      </c>
      <c r="S162" s="33">
        <f t="shared" si="110"/>
        <v>-35996</v>
      </c>
      <c r="T162" s="34"/>
      <c r="U162" s="34">
        <f t="shared" si="111"/>
        <v>-21.920677911397128</v>
      </c>
    </row>
    <row r="163" spans="1:21" hidden="1" outlineLevel="2">
      <c r="A163" s="22"/>
      <c r="B163" s="28">
        <v>7410</v>
      </c>
      <c r="C163" s="29" t="s">
        <v>185</v>
      </c>
      <c r="D163" s="5">
        <f>N(255097.72)</f>
        <v>255097.72</v>
      </c>
      <c r="E163" s="30">
        <f>N(288000)</f>
        <v>288000</v>
      </c>
      <c r="F163" s="30">
        <f t="shared" si="104"/>
        <v>32902.28</v>
      </c>
      <c r="G163" s="30"/>
      <c r="H163" s="31">
        <f t="shared" si="105"/>
        <v>11.424402777777777</v>
      </c>
      <c r="I163" s="32">
        <f>N(234716.2)</f>
        <v>234716.2</v>
      </c>
      <c r="J163" s="30">
        <f t="shared" si="106"/>
        <v>-20381.51999999999</v>
      </c>
      <c r="K163" s="30"/>
      <c r="L163" s="30">
        <f t="shared" si="107"/>
        <v>-8.683473914454984</v>
      </c>
      <c r="M163" s="5">
        <f>N(255097.72)</f>
        <v>255097.72</v>
      </c>
      <c r="N163" s="30">
        <f>N(288000)</f>
        <v>288000</v>
      </c>
      <c r="O163" s="30">
        <f t="shared" si="108"/>
        <v>32902.28</v>
      </c>
      <c r="P163" s="30"/>
      <c r="Q163" s="30">
        <f t="shared" si="109"/>
        <v>11.424402777777777</v>
      </c>
      <c r="R163" s="32">
        <f>N(234716.2)</f>
        <v>234716.2</v>
      </c>
      <c r="S163" s="33">
        <f t="shared" si="110"/>
        <v>-20381.51999999999</v>
      </c>
      <c r="T163" s="34"/>
      <c r="U163" s="34">
        <f t="shared" si="111"/>
        <v>-8.683473914454984</v>
      </c>
    </row>
    <row r="164" spans="1:21" hidden="1" outlineLevel="2">
      <c r="A164" s="22"/>
      <c r="B164" s="28">
        <v>7430</v>
      </c>
      <c r="C164" s="29" t="s">
        <v>186</v>
      </c>
      <c r="D164" s="5">
        <f>N(379224.62)</f>
        <v>379224.62</v>
      </c>
      <c r="E164" s="30">
        <f>N(7000)</f>
        <v>7000</v>
      </c>
      <c r="F164" s="30">
        <f t="shared" si="104"/>
        <v>-372224.62</v>
      </c>
      <c r="G164" s="30"/>
      <c r="H164" s="31">
        <f t="shared" si="105"/>
        <v>-5317.4945714285714</v>
      </c>
      <c r="I164" s="32">
        <f>N(48692)</f>
        <v>48692</v>
      </c>
      <c r="J164" s="30">
        <f t="shared" si="106"/>
        <v>-330532.62</v>
      </c>
      <c r="K164" s="30"/>
      <c r="L164" s="30">
        <f t="shared" si="107"/>
        <v>-678.82325638708619</v>
      </c>
      <c r="M164" s="5">
        <f>N(379224.62)</f>
        <v>379224.62</v>
      </c>
      <c r="N164" s="30">
        <f>N(7000)</f>
        <v>7000</v>
      </c>
      <c r="O164" s="30">
        <f t="shared" si="108"/>
        <v>-372224.62</v>
      </c>
      <c r="P164" s="30"/>
      <c r="Q164" s="30">
        <f t="shared" si="109"/>
        <v>-5317.4945714285714</v>
      </c>
      <c r="R164" s="32">
        <f>N(48692)</f>
        <v>48692</v>
      </c>
      <c r="S164" s="33">
        <f t="shared" si="110"/>
        <v>-330532.62</v>
      </c>
      <c r="T164" s="34"/>
      <c r="U164" s="34">
        <f t="shared" si="111"/>
        <v>-678.82325638708619</v>
      </c>
    </row>
    <row r="165" spans="1:21" hidden="1" outlineLevel="2">
      <c r="A165" s="22"/>
      <c r="B165" s="28">
        <v>7432</v>
      </c>
      <c r="C165" s="29" t="s">
        <v>187</v>
      </c>
      <c r="D165" s="5">
        <f t="shared" ref="D165:E165" si="136">N(0)</f>
        <v>0</v>
      </c>
      <c r="E165" s="30">
        <f t="shared" si="136"/>
        <v>0</v>
      </c>
      <c r="F165" s="30">
        <f t="shared" si="104"/>
        <v>0</v>
      </c>
      <c r="G165" s="30"/>
      <c r="H165" s="31">
        <f t="shared" si="105"/>
        <v>0</v>
      </c>
      <c r="I165" s="32">
        <f>N(0)</f>
        <v>0</v>
      </c>
      <c r="J165" s="30">
        <f t="shared" si="106"/>
        <v>0</v>
      </c>
      <c r="K165" s="30"/>
      <c r="L165" s="30">
        <f t="shared" si="107"/>
        <v>0</v>
      </c>
      <c r="M165" s="5">
        <f t="shared" ref="M165:N165" si="137">N(0)</f>
        <v>0</v>
      </c>
      <c r="N165" s="30">
        <f t="shared" si="137"/>
        <v>0</v>
      </c>
      <c r="O165" s="30">
        <f t="shared" si="108"/>
        <v>0</v>
      </c>
      <c r="P165" s="30"/>
      <c r="Q165" s="30">
        <f t="shared" si="109"/>
        <v>0</v>
      </c>
      <c r="R165" s="32">
        <f>N(0)</f>
        <v>0</v>
      </c>
      <c r="S165" s="33">
        <f t="shared" si="110"/>
        <v>0</v>
      </c>
      <c r="T165" s="34"/>
      <c r="U165" s="34">
        <f t="shared" si="111"/>
        <v>0</v>
      </c>
    </row>
    <row r="166" spans="1:21" hidden="1" outlineLevel="2">
      <c r="A166" s="22"/>
      <c r="B166" s="28">
        <v>7437</v>
      </c>
      <c r="C166" s="29" t="s">
        <v>188</v>
      </c>
      <c r="D166" s="5">
        <f>N(1446500)</f>
        <v>1446500</v>
      </c>
      <c r="E166" s="30">
        <f>N(0)</f>
        <v>0</v>
      </c>
      <c r="F166" s="30">
        <f t="shared" si="104"/>
        <v>-1446500</v>
      </c>
      <c r="G166" s="30"/>
      <c r="H166" s="31">
        <f t="shared" si="105"/>
        <v>0</v>
      </c>
      <c r="I166" s="32">
        <f>N(951500)</f>
        <v>951500</v>
      </c>
      <c r="J166" s="30">
        <f t="shared" si="106"/>
        <v>-495000</v>
      </c>
      <c r="K166" s="30"/>
      <c r="L166" s="30">
        <f t="shared" si="107"/>
        <v>-52.02312138728324</v>
      </c>
      <c r="M166" s="5">
        <f>N(1446500)</f>
        <v>1446500</v>
      </c>
      <c r="N166" s="30">
        <f>N(0)</f>
        <v>0</v>
      </c>
      <c r="O166" s="30">
        <f t="shared" si="108"/>
        <v>-1446500</v>
      </c>
      <c r="P166" s="30"/>
      <c r="Q166" s="30">
        <f t="shared" si="109"/>
        <v>0</v>
      </c>
      <c r="R166" s="32">
        <f>N(951500)</f>
        <v>951500</v>
      </c>
      <c r="S166" s="33">
        <f t="shared" si="110"/>
        <v>-495000</v>
      </c>
      <c r="T166" s="34"/>
      <c r="U166" s="34">
        <f t="shared" si="111"/>
        <v>-52.02312138728324</v>
      </c>
    </row>
    <row r="167" spans="1:21" hidden="1" outlineLevel="2">
      <c r="A167" s="22"/>
      <c r="B167" s="28">
        <v>7439</v>
      </c>
      <c r="C167" s="29" t="s">
        <v>189</v>
      </c>
      <c r="D167" s="5">
        <f>N(5884041)</f>
        <v>5884041</v>
      </c>
      <c r="E167" s="30">
        <f>N(4016000)</f>
        <v>4016000</v>
      </c>
      <c r="F167" s="30">
        <f t="shared" si="104"/>
        <v>-1868041</v>
      </c>
      <c r="G167" s="30"/>
      <c r="H167" s="31">
        <f t="shared" si="105"/>
        <v>-46.514965139442232</v>
      </c>
      <c r="I167" s="32">
        <f>N(4548060)</f>
        <v>4548060</v>
      </c>
      <c r="J167" s="30">
        <f t="shared" si="106"/>
        <v>-1335981</v>
      </c>
      <c r="K167" s="30"/>
      <c r="L167" s="30">
        <f t="shared" si="107"/>
        <v>-29.374744396511918</v>
      </c>
      <c r="M167" s="5">
        <f>N(5884041)</f>
        <v>5884041</v>
      </c>
      <c r="N167" s="30">
        <f>N(4016000)</f>
        <v>4016000</v>
      </c>
      <c r="O167" s="30">
        <f t="shared" si="108"/>
        <v>-1868041</v>
      </c>
      <c r="P167" s="30"/>
      <c r="Q167" s="30">
        <f t="shared" si="109"/>
        <v>-46.514965139442232</v>
      </c>
      <c r="R167" s="32">
        <f>N(4548060)</f>
        <v>4548060</v>
      </c>
      <c r="S167" s="33">
        <f t="shared" si="110"/>
        <v>-1335981</v>
      </c>
      <c r="T167" s="34"/>
      <c r="U167" s="34">
        <f t="shared" si="111"/>
        <v>-29.374744396511918</v>
      </c>
    </row>
    <row r="168" spans="1:21" hidden="1" outlineLevel="2">
      <c r="A168" s="22"/>
      <c r="B168" s="28">
        <v>7445</v>
      </c>
      <c r="C168" s="29" t="s">
        <v>191</v>
      </c>
      <c r="D168" s="5">
        <f>N(91352)</f>
        <v>91352</v>
      </c>
      <c r="E168" s="30">
        <f>N(95000)</f>
        <v>95000</v>
      </c>
      <c r="F168" s="30">
        <f t="shared" si="104"/>
        <v>3648</v>
      </c>
      <c r="G168" s="30"/>
      <c r="H168" s="31">
        <f t="shared" si="105"/>
        <v>3.84</v>
      </c>
      <c r="I168" s="32">
        <f>N(62000)</f>
        <v>62000</v>
      </c>
      <c r="J168" s="30">
        <f t="shared" si="106"/>
        <v>-29352</v>
      </c>
      <c r="K168" s="30"/>
      <c r="L168" s="30">
        <f t="shared" si="107"/>
        <v>-47.341935483870969</v>
      </c>
      <c r="M168" s="5">
        <f>N(91352)</f>
        <v>91352</v>
      </c>
      <c r="N168" s="30">
        <f>N(95000)</f>
        <v>95000</v>
      </c>
      <c r="O168" s="30">
        <f t="shared" si="108"/>
        <v>3648</v>
      </c>
      <c r="P168" s="30"/>
      <c r="Q168" s="30">
        <f t="shared" si="109"/>
        <v>3.84</v>
      </c>
      <c r="R168" s="32">
        <f>N(62000)</f>
        <v>62000</v>
      </c>
      <c r="S168" s="33">
        <f t="shared" si="110"/>
        <v>-29352</v>
      </c>
      <c r="T168" s="34"/>
      <c r="U168" s="34">
        <f t="shared" si="111"/>
        <v>-47.341935483870969</v>
      </c>
    </row>
    <row r="169" spans="1:21" hidden="1" outlineLevel="2">
      <c r="A169" s="22"/>
      <c r="B169" s="28">
        <v>7447</v>
      </c>
      <c r="C169" s="29" t="s">
        <v>192</v>
      </c>
      <c r="D169" s="5">
        <f>N(350548)</f>
        <v>350548</v>
      </c>
      <c r="E169" s="30">
        <f>N(310000)</f>
        <v>310000</v>
      </c>
      <c r="F169" s="30">
        <f t="shared" si="104"/>
        <v>-40548</v>
      </c>
      <c r="G169" s="30"/>
      <c r="H169" s="31">
        <f t="shared" si="105"/>
        <v>-13.08</v>
      </c>
      <c r="I169" s="32">
        <f>N(73730)</f>
        <v>73730</v>
      </c>
      <c r="J169" s="30">
        <f t="shared" si="106"/>
        <v>-276818</v>
      </c>
      <c r="K169" s="30"/>
      <c r="L169" s="30">
        <f t="shared" si="107"/>
        <v>-375.44825715448258</v>
      </c>
      <c r="M169" s="5">
        <f>N(350548)</f>
        <v>350548</v>
      </c>
      <c r="N169" s="30">
        <f>N(310000)</f>
        <v>310000</v>
      </c>
      <c r="O169" s="30">
        <f t="shared" si="108"/>
        <v>-40548</v>
      </c>
      <c r="P169" s="30"/>
      <c r="Q169" s="30">
        <f t="shared" si="109"/>
        <v>-13.08</v>
      </c>
      <c r="R169" s="32">
        <f>N(73730)</f>
        <v>73730</v>
      </c>
      <c r="S169" s="33">
        <f t="shared" si="110"/>
        <v>-276818</v>
      </c>
      <c r="T169" s="34"/>
      <c r="U169" s="34">
        <f t="shared" si="111"/>
        <v>-375.44825715448258</v>
      </c>
    </row>
    <row r="170" spans="1:21" hidden="1" outlineLevel="2">
      <c r="A170" s="22"/>
      <c r="B170" s="28">
        <v>7448</v>
      </c>
      <c r="C170" s="29" t="s">
        <v>193</v>
      </c>
      <c r="D170" s="5">
        <f t="shared" ref="D170:E170" si="138">N(0)</f>
        <v>0</v>
      </c>
      <c r="E170" s="30">
        <f t="shared" si="138"/>
        <v>0</v>
      </c>
      <c r="F170" s="30">
        <f t="shared" si="104"/>
        <v>0</v>
      </c>
      <c r="G170" s="30"/>
      <c r="H170" s="31">
        <f t="shared" si="105"/>
        <v>0</v>
      </c>
      <c r="I170" s="32">
        <f>N(0)</f>
        <v>0</v>
      </c>
      <c r="J170" s="30">
        <f t="shared" si="106"/>
        <v>0</v>
      </c>
      <c r="K170" s="30"/>
      <c r="L170" s="30">
        <f t="shared" si="107"/>
        <v>0</v>
      </c>
      <c r="M170" s="5">
        <f t="shared" ref="M170:N170" si="139">N(0)</f>
        <v>0</v>
      </c>
      <c r="N170" s="30">
        <f t="shared" si="139"/>
        <v>0</v>
      </c>
      <c r="O170" s="30">
        <f t="shared" si="108"/>
        <v>0</v>
      </c>
      <c r="P170" s="30"/>
      <c r="Q170" s="30">
        <f t="shared" si="109"/>
        <v>0</v>
      </c>
      <c r="R170" s="32">
        <f>N(0)</f>
        <v>0</v>
      </c>
      <c r="S170" s="33">
        <f t="shared" si="110"/>
        <v>0</v>
      </c>
      <c r="T170" s="34"/>
      <c r="U170" s="34">
        <f t="shared" si="111"/>
        <v>0</v>
      </c>
    </row>
    <row r="171" spans="1:21" hidden="1" outlineLevel="2">
      <c r="A171" s="22"/>
      <c r="B171" s="28">
        <v>7460</v>
      </c>
      <c r="C171" s="29" t="s">
        <v>194</v>
      </c>
      <c r="D171" s="5">
        <f t="shared" ref="D171:E171" si="140">N(635600)</f>
        <v>635600</v>
      </c>
      <c r="E171" s="30">
        <f t="shared" si="140"/>
        <v>635600</v>
      </c>
      <c r="F171" s="30">
        <f t="shared" ref="F171:F187" si="141">-D171+E171</f>
        <v>0</v>
      </c>
      <c r="G171" s="30"/>
      <c r="H171" s="31">
        <f t="shared" ref="H171:H187" si="142">IF(E171=0,0,F171*100/E171)</f>
        <v>0</v>
      </c>
      <c r="I171" s="32">
        <f>N(634815.56)</f>
        <v>634815.56000000006</v>
      </c>
      <c r="J171" s="30">
        <f t="shared" ref="J171:J187" si="143">-D171+I171</f>
        <v>-784.43999999994412</v>
      </c>
      <c r="K171" s="30"/>
      <c r="L171" s="30">
        <f t="shared" ref="L171:L187" si="144">IF(I171=0,0,J171*100/I171)</f>
        <v>-0.12356974992861612</v>
      </c>
      <c r="M171" s="5">
        <f t="shared" ref="M171:N171" si="145">N(635600)</f>
        <v>635600</v>
      </c>
      <c r="N171" s="30">
        <f t="shared" si="145"/>
        <v>635600</v>
      </c>
      <c r="O171" s="30">
        <f t="shared" ref="O171:O187" si="146">-M171+N171</f>
        <v>0</v>
      </c>
      <c r="P171" s="30"/>
      <c r="Q171" s="30">
        <f t="shared" ref="Q171:Q187" si="147">IF(N171=0,0,O171*100/N171)</f>
        <v>0</v>
      </c>
      <c r="R171" s="32">
        <f>N(634815.56)</f>
        <v>634815.56000000006</v>
      </c>
      <c r="S171" s="33">
        <f t="shared" ref="S171:S187" si="148">-M171+R171</f>
        <v>-784.43999999994412</v>
      </c>
      <c r="T171" s="34"/>
      <c r="U171" s="34">
        <f t="shared" ref="U171:U187" si="149">IF(R171=0,0,S171*100/R171)</f>
        <v>-0.12356974992861612</v>
      </c>
    </row>
    <row r="172" spans="1:21" hidden="1" outlineLevel="2">
      <c r="A172" s="22"/>
      <c r="B172" s="28">
        <v>7461</v>
      </c>
      <c r="C172" s="29" t="s">
        <v>195</v>
      </c>
      <c r="D172" s="5">
        <f>N(2495571.93)</f>
        <v>2495571.9300000002</v>
      </c>
      <c r="E172" s="30">
        <f>N(2459800)</f>
        <v>2459800</v>
      </c>
      <c r="F172" s="30">
        <f t="shared" si="141"/>
        <v>-35771.930000000168</v>
      </c>
      <c r="G172" s="30"/>
      <c r="H172" s="31">
        <f t="shared" si="142"/>
        <v>-1.4542617285958277</v>
      </c>
      <c r="I172" s="32">
        <f>N(2493915.8)</f>
        <v>2493915.7999999998</v>
      </c>
      <c r="J172" s="30">
        <f t="shared" si="143"/>
        <v>-1656.1300000003539</v>
      </c>
      <c r="K172" s="30"/>
      <c r="L172" s="30">
        <f t="shared" si="144"/>
        <v>-6.6406812932511758E-2</v>
      </c>
      <c r="M172" s="5">
        <f>N(2495571.93)</f>
        <v>2495571.9300000002</v>
      </c>
      <c r="N172" s="30">
        <f>N(2459800)</f>
        <v>2459800</v>
      </c>
      <c r="O172" s="30">
        <f t="shared" si="146"/>
        <v>-35771.930000000168</v>
      </c>
      <c r="P172" s="30"/>
      <c r="Q172" s="30">
        <f t="shared" si="147"/>
        <v>-1.4542617285958277</v>
      </c>
      <c r="R172" s="32">
        <f>N(2493915.8)</f>
        <v>2493915.7999999998</v>
      </c>
      <c r="S172" s="33">
        <f t="shared" si="148"/>
        <v>-1656.1300000003539</v>
      </c>
      <c r="T172" s="34"/>
      <c r="U172" s="34">
        <f t="shared" si="149"/>
        <v>-6.6406812932511758E-2</v>
      </c>
    </row>
    <row r="173" spans="1:21" hidden="1" outlineLevel="1" collapsed="1">
      <c r="A173" s="22"/>
      <c r="B173" s="35" t="str">
        <f>"    "&amp;"Kontingent og bevilgninger"</f>
        <v xml:space="preserve">    Kontingent og bevilgninger</v>
      </c>
      <c r="C173" s="36"/>
      <c r="D173" s="37">
        <f t="shared" ref="D173:E173" si="150">SUM(D163:D172)</f>
        <v>11537935.27</v>
      </c>
      <c r="E173" s="33">
        <f t="shared" si="150"/>
        <v>7811400</v>
      </c>
      <c r="F173" s="33">
        <f t="shared" si="141"/>
        <v>-3726535.2699999996</v>
      </c>
      <c r="G173" s="33"/>
      <c r="H173" s="38">
        <f t="shared" si="142"/>
        <v>-47.706368512686581</v>
      </c>
      <c r="I173" s="39">
        <f>SUM(I163:I172)</f>
        <v>9047429.5599999987</v>
      </c>
      <c r="J173" s="33">
        <f t="shared" si="143"/>
        <v>-2490505.7100000009</v>
      </c>
      <c r="K173" s="33"/>
      <c r="L173" s="33">
        <f t="shared" si="144"/>
        <v>-27.527218570574881</v>
      </c>
      <c r="M173" s="37">
        <f t="shared" ref="M173:N173" si="151">SUM(M163:M172)</f>
        <v>11537935.27</v>
      </c>
      <c r="N173" s="33">
        <f t="shared" si="151"/>
        <v>7811400</v>
      </c>
      <c r="O173" s="33">
        <f t="shared" si="146"/>
        <v>-3726535.2699999996</v>
      </c>
      <c r="P173" s="33"/>
      <c r="Q173" s="33">
        <f t="shared" si="147"/>
        <v>-47.706368512686581</v>
      </c>
      <c r="R173" s="39">
        <f>SUM(R163:R172)</f>
        <v>9047429.5599999987</v>
      </c>
      <c r="S173" s="33">
        <f t="shared" si="148"/>
        <v>-2490505.7100000009</v>
      </c>
      <c r="T173" s="34"/>
      <c r="U173" s="34">
        <f t="shared" si="149"/>
        <v>-27.527218570574881</v>
      </c>
    </row>
    <row r="174" spans="1:21" hidden="1" outlineLevel="2">
      <c r="A174" s="22"/>
      <c r="B174" s="28">
        <v>7500</v>
      </c>
      <c r="C174" s="29" t="s">
        <v>196</v>
      </c>
      <c r="D174" s="5">
        <f>N(64004)</f>
        <v>64004</v>
      </c>
      <c r="E174" s="30">
        <f>N(16000)</f>
        <v>16000</v>
      </c>
      <c r="F174" s="30">
        <f t="shared" si="141"/>
        <v>-48004</v>
      </c>
      <c r="G174" s="30"/>
      <c r="H174" s="31">
        <f t="shared" si="142"/>
        <v>-300.02499999999998</v>
      </c>
      <c r="I174" s="32">
        <f>N(2218)</f>
        <v>2218</v>
      </c>
      <c r="J174" s="30">
        <f t="shared" si="143"/>
        <v>-61786</v>
      </c>
      <c r="K174" s="30"/>
      <c r="L174" s="30">
        <f t="shared" si="144"/>
        <v>-2785.6627592425607</v>
      </c>
      <c r="M174" s="5">
        <f>N(64004)</f>
        <v>64004</v>
      </c>
      <c r="N174" s="30">
        <f>N(16000)</f>
        <v>16000</v>
      </c>
      <c r="O174" s="30">
        <f t="shared" si="146"/>
        <v>-48004</v>
      </c>
      <c r="P174" s="30"/>
      <c r="Q174" s="30">
        <f t="shared" si="147"/>
        <v>-300.02499999999998</v>
      </c>
      <c r="R174" s="32">
        <f>N(2218)</f>
        <v>2218</v>
      </c>
      <c r="S174" s="33">
        <f t="shared" si="148"/>
        <v>-61786</v>
      </c>
      <c r="T174" s="34"/>
      <c r="U174" s="34">
        <f t="shared" si="149"/>
        <v>-2785.6627592425607</v>
      </c>
    </row>
    <row r="175" spans="1:21" hidden="1" outlineLevel="2">
      <c r="A175" s="22"/>
      <c r="B175" s="28">
        <v>7510</v>
      </c>
      <c r="C175" s="29" t="s">
        <v>197</v>
      </c>
      <c r="D175" s="5">
        <f>N(32956)</f>
        <v>32956</v>
      </c>
      <c r="E175" s="30">
        <f>N(60000)</f>
        <v>60000</v>
      </c>
      <c r="F175" s="30">
        <f t="shared" si="141"/>
        <v>27044</v>
      </c>
      <c r="G175" s="30"/>
      <c r="H175" s="31">
        <f t="shared" si="142"/>
        <v>45.073333333333331</v>
      </c>
      <c r="I175" s="32">
        <f>N(30944)</f>
        <v>30944</v>
      </c>
      <c r="J175" s="30">
        <f t="shared" si="143"/>
        <v>-2012</v>
      </c>
      <c r="K175" s="30"/>
      <c r="L175" s="30">
        <f t="shared" si="144"/>
        <v>-6.5020682523267839</v>
      </c>
      <c r="M175" s="5">
        <f>N(32956)</f>
        <v>32956</v>
      </c>
      <c r="N175" s="30">
        <f>N(60000)</f>
        <v>60000</v>
      </c>
      <c r="O175" s="30">
        <f t="shared" si="146"/>
        <v>27044</v>
      </c>
      <c r="P175" s="30"/>
      <c r="Q175" s="30">
        <f t="shared" si="147"/>
        <v>45.073333333333331</v>
      </c>
      <c r="R175" s="32">
        <f>N(30944)</f>
        <v>30944</v>
      </c>
      <c r="S175" s="33">
        <f t="shared" si="148"/>
        <v>-2012</v>
      </c>
      <c r="T175" s="34"/>
      <c r="U175" s="34">
        <f t="shared" si="149"/>
        <v>-6.5020682523267839</v>
      </c>
    </row>
    <row r="176" spans="1:21" hidden="1" outlineLevel="1" collapsed="1">
      <c r="A176" s="22"/>
      <c r="B176" s="35" t="str">
        <f>"    "&amp;"Forsikringspremie, garanti- og servicekostnad"</f>
        <v xml:space="preserve">    Forsikringspremie, garanti- og servicekostnad</v>
      </c>
      <c r="C176" s="36"/>
      <c r="D176" s="37">
        <f t="shared" ref="D176:E176" si="152">SUM(D174:D175)</f>
        <v>96960</v>
      </c>
      <c r="E176" s="33">
        <f t="shared" si="152"/>
        <v>76000</v>
      </c>
      <c r="F176" s="33">
        <f t="shared" si="141"/>
        <v>-20960</v>
      </c>
      <c r="G176" s="33"/>
      <c r="H176" s="38">
        <f t="shared" si="142"/>
        <v>-27.578947368421051</v>
      </c>
      <c r="I176" s="39">
        <f>SUM(I174:I175)</f>
        <v>33162</v>
      </c>
      <c r="J176" s="33">
        <f t="shared" si="143"/>
        <v>-63798</v>
      </c>
      <c r="K176" s="33"/>
      <c r="L176" s="33">
        <f t="shared" si="144"/>
        <v>-192.38284783788674</v>
      </c>
      <c r="M176" s="37">
        <f t="shared" ref="M176:N176" si="153">SUM(M174:M175)</f>
        <v>96960</v>
      </c>
      <c r="N176" s="33">
        <f t="shared" si="153"/>
        <v>76000</v>
      </c>
      <c r="O176" s="33">
        <f t="shared" si="146"/>
        <v>-20960</v>
      </c>
      <c r="P176" s="33"/>
      <c r="Q176" s="33">
        <f t="shared" si="147"/>
        <v>-27.578947368421051</v>
      </c>
      <c r="R176" s="39">
        <f>SUM(R174:R175)</f>
        <v>33162</v>
      </c>
      <c r="S176" s="33">
        <f t="shared" si="148"/>
        <v>-63798</v>
      </c>
      <c r="T176" s="34"/>
      <c r="U176" s="34">
        <f t="shared" si="149"/>
        <v>-192.38284783788674</v>
      </c>
    </row>
    <row r="177" spans="1:21" hidden="1" outlineLevel="2">
      <c r="A177" s="22"/>
      <c r="B177" s="28">
        <v>7700</v>
      </c>
      <c r="C177" s="29" t="s">
        <v>199</v>
      </c>
      <c r="D177" s="5">
        <f>N(1122194.09)</f>
        <v>1122194.0900000001</v>
      </c>
      <c r="E177" s="30">
        <f>N(1025000)</f>
        <v>1025000</v>
      </c>
      <c r="F177" s="30">
        <f t="shared" si="141"/>
        <v>-97194.090000000084</v>
      </c>
      <c r="G177" s="30"/>
      <c r="H177" s="31">
        <f t="shared" si="142"/>
        <v>-9.482350243902447</v>
      </c>
      <c r="I177" s="32">
        <f>N(1127825.95)</f>
        <v>1127825.95</v>
      </c>
      <c r="J177" s="30">
        <f t="shared" si="143"/>
        <v>5631.8599999998696</v>
      </c>
      <c r="K177" s="30"/>
      <c r="L177" s="30">
        <f t="shared" si="144"/>
        <v>0.49935541915841447</v>
      </c>
      <c r="M177" s="5">
        <f>N(1122194.09)</f>
        <v>1122194.0900000001</v>
      </c>
      <c r="N177" s="30">
        <f>N(1025000)</f>
        <v>1025000</v>
      </c>
      <c r="O177" s="30">
        <f t="shared" si="146"/>
        <v>-97194.090000000084</v>
      </c>
      <c r="P177" s="30"/>
      <c r="Q177" s="30">
        <f t="shared" si="147"/>
        <v>-9.482350243902447</v>
      </c>
      <c r="R177" s="32">
        <f>N(1127825.95)</f>
        <v>1127825.95</v>
      </c>
      <c r="S177" s="33">
        <f t="shared" si="148"/>
        <v>5631.8599999998696</v>
      </c>
      <c r="T177" s="34"/>
      <c r="U177" s="34">
        <f t="shared" si="149"/>
        <v>0.49935541915841447</v>
      </c>
    </row>
    <row r="178" spans="1:21" hidden="1" outlineLevel="2">
      <c r="A178" s="22"/>
      <c r="B178" s="28">
        <v>7710</v>
      </c>
      <c r="C178" s="29" t="s">
        <v>200</v>
      </c>
      <c r="D178" s="5">
        <f>N(0)</f>
        <v>0</v>
      </c>
      <c r="E178" s="30">
        <f>N(193000)</f>
        <v>193000</v>
      </c>
      <c r="F178" s="30">
        <f t="shared" si="141"/>
        <v>193000</v>
      </c>
      <c r="G178" s="30"/>
      <c r="H178" s="31">
        <f t="shared" si="142"/>
        <v>100</v>
      </c>
      <c r="I178" s="32">
        <f>N(882646.5)</f>
        <v>882646.5</v>
      </c>
      <c r="J178" s="30">
        <f t="shared" si="143"/>
        <v>882646.5</v>
      </c>
      <c r="K178" s="30"/>
      <c r="L178" s="30">
        <f t="shared" si="144"/>
        <v>100</v>
      </c>
      <c r="M178" s="5">
        <f>N(0)</f>
        <v>0</v>
      </c>
      <c r="N178" s="30">
        <f>N(193000)</f>
        <v>193000</v>
      </c>
      <c r="O178" s="30">
        <f t="shared" si="146"/>
        <v>193000</v>
      </c>
      <c r="P178" s="30"/>
      <c r="Q178" s="30">
        <f t="shared" si="147"/>
        <v>100</v>
      </c>
      <c r="R178" s="32">
        <f>N(882646.5)</f>
        <v>882646.5</v>
      </c>
      <c r="S178" s="33">
        <f t="shared" si="148"/>
        <v>882646.5</v>
      </c>
      <c r="T178" s="34"/>
      <c r="U178" s="34">
        <f t="shared" si="149"/>
        <v>100</v>
      </c>
    </row>
    <row r="179" spans="1:21" hidden="1" outlineLevel="2">
      <c r="A179" s="22"/>
      <c r="B179" s="28">
        <v>7720</v>
      </c>
      <c r="C179" s="29" t="s">
        <v>201</v>
      </c>
      <c r="D179" s="5">
        <f>N(3764992.88)</f>
        <v>3764992.88</v>
      </c>
      <c r="E179" s="30">
        <f>N(2758200)</f>
        <v>2758200</v>
      </c>
      <c r="F179" s="30">
        <f t="shared" si="141"/>
        <v>-1006792.8799999999</v>
      </c>
      <c r="G179" s="30"/>
      <c r="H179" s="31">
        <f t="shared" si="142"/>
        <v>-36.50180842578493</v>
      </c>
      <c r="I179" s="32">
        <f>N(1401089.36)</f>
        <v>1401089.36</v>
      </c>
      <c r="J179" s="30">
        <f t="shared" si="143"/>
        <v>-2363903.5199999996</v>
      </c>
      <c r="K179" s="30"/>
      <c r="L179" s="30">
        <f t="shared" si="144"/>
        <v>-168.71896878868591</v>
      </c>
      <c r="M179" s="5">
        <f>N(3764992.88)</f>
        <v>3764992.88</v>
      </c>
      <c r="N179" s="30">
        <f>N(2758200)</f>
        <v>2758200</v>
      </c>
      <c r="O179" s="30">
        <f t="shared" si="146"/>
        <v>-1006792.8799999999</v>
      </c>
      <c r="P179" s="30"/>
      <c r="Q179" s="30">
        <f t="shared" si="147"/>
        <v>-36.50180842578493</v>
      </c>
      <c r="R179" s="32">
        <f>N(1401089.36)</f>
        <v>1401089.36</v>
      </c>
      <c r="S179" s="33">
        <f t="shared" si="148"/>
        <v>-2363903.5199999996</v>
      </c>
      <c r="T179" s="34"/>
      <c r="U179" s="34">
        <f t="shared" si="149"/>
        <v>-168.71896878868591</v>
      </c>
    </row>
    <row r="180" spans="1:21" hidden="1" outlineLevel="2">
      <c r="A180" s="22"/>
      <c r="B180" s="28">
        <v>7770</v>
      </c>
      <c r="C180" s="29" t="s">
        <v>202</v>
      </c>
      <c r="D180" s="5">
        <f>N(71135.5)</f>
        <v>71135.5</v>
      </c>
      <c r="E180" s="30">
        <f>N(114000)</f>
        <v>114000</v>
      </c>
      <c r="F180" s="30">
        <f t="shared" si="141"/>
        <v>42864.5</v>
      </c>
      <c r="G180" s="30"/>
      <c r="H180" s="31">
        <f t="shared" si="142"/>
        <v>37.60043859649123</v>
      </c>
      <c r="I180" s="32">
        <f>N(155039.43)</f>
        <v>155039.43</v>
      </c>
      <c r="J180" s="30">
        <f t="shared" si="143"/>
        <v>83903.93</v>
      </c>
      <c r="K180" s="30"/>
      <c r="L180" s="30">
        <f t="shared" si="144"/>
        <v>54.117800871687933</v>
      </c>
      <c r="M180" s="5">
        <f>N(71135.5)</f>
        <v>71135.5</v>
      </c>
      <c r="N180" s="30">
        <f>N(114000)</f>
        <v>114000</v>
      </c>
      <c r="O180" s="30">
        <f t="shared" si="146"/>
        <v>42864.5</v>
      </c>
      <c r="P180" s="30"/>
      <c r="Q180" s="30">
        <f t="shared" si="147"/>
        <v>37.60043859649123</v>
      </c>
      <c r="R180" s="32">
        <f>N(155039.43)</f>
        <v>155039.43</v>
      </c>
      <c r="S180" s="33">
        <f t="shared" si="148"/>
        <v>83903.93</v>
      </c>
      <c r="T180" s="34"/>
      <c r="U180" s="34">
        <f t="shared" si="149"/>
        <v>54.117800871687933</v>
      </c>
    </row>
    <row r="181" spans="1:21" hidden="1" outlineLevel="2">
      <c r="A181" s="22"/>
      <c r="B181" s="28">
        <v>7771</v>
      </c>
      <c r="C181" s="29" t="s">
        <v>203</v>
      </c>
      <c r="D181" s="5">
        <f>N(123130.16)</f>
        <v>123130.16</v>
      </c>
      <c r="E181" s="30">
        <f>N(0)</f>
        <v>0</v>
      </c>
      <c r="F181" s="30">
        <f t="shared" si="141"/>
        <v>-123130.16</v>
      </c>
      <c r="G181" s="30"/>
      <c r="H181" s="31">
        <f t="shared" si="142"/>
        <v>0</v>
      </c>
      <c r="I181" s="32">
        <f>N(0)</f>
        <v>0</v>
      </c>
      <c r="J181" s="30">
        <f t="shared" si="143"/>
        <v>-123130.16</v>
      </c>
      <c r="K181" s="30"/>
      <c r="L181" s="30">
        <f t="shared" si="144"/>
        <v>0</v>
      </c>
      <c r="M181" s="5">
        <f>N(123130.16)</f>
        <v>123130.16</v>
      </c>
      <c r="N181" s="30">
        <f>N(0)</f>
        <v>0</v>
      </c>
      <c r="O181" s="30">
        <f t="shared" si="146"/>
        <v>-123130.16</v>
      </c>
      <c r="P181" s="30"/>
      <c r="Q181" s="30">
        <f t="shared" si="147"/>
        <v>0</v>
      </c>
      <c r="R181" s="32">
        <f>N(0)</f>
        <v>0</v>
      </c>
      <c r="S181" s="33">
        <f t="shared" si="148"/>
        <v>-123130.16</v>
      </c>
      <c r="T181" s="34"/>
      <c r="U181" s="34">
        <f t="shared" si="149"/>
        <v>0</v>
      </c>
    </row>
    <row r="182" spans="1:21" hidden="1" outlineLevel="2">
      <c r="A182" s="22"/>
      <c r="B182" s="28">
        <v>7790</v>
      </c>
      <c r="C182" s="29" t="s">
        <v>204</v>
      </c>
      <c r="D182" s="5">
        <f>N(11250.97)</f>
        <v>11250.97</v>
      </c>
      <c r="E182" s="30">
        <f>N(43632)</f>
        <v>43632</v>
      </c>
      <c r="F182" s="30">
        <f t="shared" si="141"/>
        <v>32381.03</v>
      </c>
      <c r="G182" s="30"/>
      <c r="H182" s="31">
        <f t="shared" si="142"/>
        <v>74.213948478181152</v>
      </c>
      <c r="I182" s="32">
        <f>N(38068.08)</f>
        <v>38068.080000000002</v>
      </c>
      <c r="J182" s="30">
        <f t="shared" si="143"/>
        <v>26817.11</v>
      </c>
      <c r="K182" s="30"/>
      <c r="L182" s="30">
        <f t="shared" si="144"/>
        <v>70.445134086089965</v>
      </c>
      <c r="M182" s="5">
        <f>N(11250.97)</f>
        <v>11250.97</v>
      </c>
      <c r="N182" s="30">
        <f>N(43632)</f>
        <v>43632</v>
      </c>
      <c r="O182" s="30">
        <f t="shared" si="146"/>
        <v>32381.03</v>
      </c>
      <c r="P182" s="30"/>
      <c r="Q182" s="30">
        <f t="shared" si="147"/>
        <v>74.213948478181152</v>
      </c>
      <c r="R182" s="32">
        <f>N(38068.08)</f>
        <v>38068.080000000002</v>
      </c>
      <c r="S182" s="33">
        <f t="shared" si="148"/>
        <v>26817.11</v>
      </c>
      <c r="T182" s="34"/>
      <c r="U182" s="34">
        <f t="shared" si="149"/>
        <v>70.445134086089965</v>
      </c>
    </row>
    <row r="183" spans="1:21" hidden="1" outlineLevel="2">
      <c r="A183" s="22"/>
      <c r="B183" s="28">
        <v>7791</v>
      </c>
      <c r="C183" s="29" t="s">
        <v>205</v>
      </c>
      <c r="D183" s="5">
        <f>N(1177)</f>
        <v>1177</v>
      </c>
      <c r="E183" s="30">
        <f>N(0)</f>
        <v>0</v>
      </c>
      <c r="F183" s="30">
        <f t="shared" si="141"/>
        <v>-1177</v>
      </c>
      <c r="G183" s="30"/>
      <c r="H183" s="31">
        <f t="shared" si="142"/>
        <v>0</v>
      </c>
      <c r="I183" s="32">
        <f>N(0)</f>
        <v>0</v>
      </c>
      <c r="J183" s="30">
        <f t="shared" si="143"/>
        <v>-1177</v>
      </c>
      <c r="K183" s="30"/>
      <c r="L183" s="30">
        <f t="shared" si="144"/>
        <v>0</v>
      </c>
      <c r="M183" s="5">
        <f>N(1177)</f>
        <v>1177</v>
      </c>
      <c r="N183" s="30">
        <f>N(0)</f>
        <v>0</v>
      </c>
      <c r="O183" s="30">
        <f t="shared" si="146"/>
        <v>-1177</v>
      </c>
      <c r="P183" s="30"/>
      <c r="Q183" s="30">
        <f t="shared" si="147"/>
        <v>0</v>
      </c>
      <c r="R183" s="32">
        <f>N(0)</f>
        <v>0</v>
      </c>
      <c r="S183" s="33">
        <f t="shared" si="148"/>
        <v>-1177</v>
      </c>
      <c r="T183" s="34"/>
      <c r="U183" s="34">
        <f t="shared" si="149"/>
        <v>0</v>
      </c>
    </row>
    <row r="184" spans="1:21" hidden="1" outlineLevel="2">
      <c r="A184" s="22"/>
      <c r="B184" s="28">
        <v>7792</v>
      </c>
      <c r="C184" s="29" t="s">
        <v>206</v>
      </c>
      <c r="D184" s="5">
        <f>N(27647.12)</f>
        <v>27647.119999999999</v>
      </c>
      <c r="E184" s="30">
        <f>N(18500)</f>
        <v>18500</v>
      </c>
      <c r="F184" s="30">
        <f t="shared" si="141"/>
        <v>-9147.119999999999</v>
      </c>
      <c r="G184" s="30"/>
      <c r="H184" s="31">
        <f t="shared" si="142"/>
        <v>-49.443891891891887</v>
      </c>
      <c r="I184" s="32">
        <f>N(29645.9)</f>
        <v>29645.9</v>
      </c>
      <c r="J184" s="30">
        <f t="shared" si="143"/>
        <v>1998.7800000000025</v>
      </c>
      <c r="K184" s="30"/>
      <c r="L184" s="30">
        <f t="shared" si="144"/>
        <v>6.7421802002975193</v>
      </c>
      <c r="M184" s="5">
        <f>N(27647.12)</f>
        <v>27647.119999999999</v>
      </c>
      <c r="N184" s="30">
        <f>N(18500)</f>
        <v>18500</v>
      </c>
      <c r="O184" s="30">
        <f t="shared" si="146"/>
        <v>-9147.119999999999</v>
      </c>
      <c r="P184" s="30"/>
      <c r="Q184" s="30">
        <f t="shared" si="147"/>
        <v>-49.443891891891887</v>
      </c>
      <c r="R184" s="32">
        <f>N(29645.9)</f>
        <v>29645.9</v>
      </c>
      <c r="S184" s="33">
        <f t="shared" si="148"/>
        <v>1998.7800000000025</v>
      </c>
      <c r="T184" s="34"/>
      <c r="U184" s="34">
        <f t="shared" si="149"/>
        <v>6.7421802002975193</v>
      </c>
    </row>
    <row r="185" spans="1:21" hidden="1" outlineLevel="1" collapsed="1">
      <c r="A185" s="22"/>
      <c r="B185" s="35" t="str">
        <f>"    "&amp;"Annen kostnad"</f>
        <v xml:space="preserve">    Annen kostnad</v>
      </c>
      <c r="C185" s="36"/>
      <c r="D185" s="37">
        <f t="shared" ref="D185:E185" si="154">SUM(D177:D184)</f>
        <v>5121527.72</v>
      </c>
      <c r="E185" s="33">
        <f t="shared" si="154"/>
        <v>4152332</v>
      </c>
      <c r="F185" s="33">
        <f t="shared" si="141"/>
        <v>-969195.71999999974</v>
      </c>
      <c r="G185" s="33"/>
      <c r="H185" s="38">
        <f t="shared" si="142"/>
        <v>-23.340997781487602</v>
      </c>
      <c r="I185" s="39">
        <f>SUM(I177:I184)</f>
        <v>3634315.22</v>
      </c>
      <c r="J185" s="33">
        <f t="shared" si="143"/>
        <v>-1487212.4999999995</v>
      </c>
      <c r="K185" s="33"/>
      <c r="L185" s="33">
        <f t="shared" si="144"/>
        <v>-40.921395365369527</v>
      </c>
      <c r="M185" s="37">
        <f t="shared" ref="M185:N185" si="155">SUM(M177:M184)</f>
        <v>5121527.72</v>
      </c>
      <c r="N185" s="33">
        <f t="shared" si="155"/>
        <v>4152332</v>
      </c>
      <c r="O185" s="33">
        <f t="shared" si="146"/>
        <v>-969195.71999999974</v>
      </c>
      <c r="P185" s="33"/>
      <c r="Q185" s="33">
        <f t="shared" si="147"/>
        <v>-23.340997781487602</v>
      </c>
      <c r="R185" s="39">
        <f>SUM(R177:R184)</f>
        <v>3634315.22</v>
      </c>
      <c r="S185" s="33">
        <f t="shared" si="148"/>
        <v>-1487212.4999999995</v>
      </c>
      <c r="T185" s="34"/>
      <c r="U185" s="34">
        <f t="shared" si="149"/>
        <v>-40.921395365369527</v>
      </c>
    </row>
    <row r="186" spans="1:21" hidden="1" outlineLevel="2">
      <c r="A186" s="22"/>
      <c r="B186" s="28">
        <v>7830</v>
      </c>
      <c r="C186" s="29" t="s">
        <v>207</v>
      </c>
      <c r="D186" s="5">
        <f t="shared" ref="D186:E186" si="156">N(0)</f>
        <v>0</v>
      </c>
      <c r="E186" s="30">
        <f t="shared" si="156"/>
        <v>0</v>
      </c>
      <c r="F186" s="30">
        <f t="shared" si="141"/>
        <v>0</v>
      </c>
      <c r="G186" s="30"/>
      <c r="H186" s="31">
        <f t="shared" si="142"/>
        <v>0</v>
      </c>
      <c r="I186" s="32">
        <f>N(200)</f>
        <v>200</v>
      </c>
      <c r="J186" s="30">
        <f t="shared" si="143"/>
        <v>200</v>
      </c>
      <c r="K186" s="30"/>
      <c r="L186" s="30">
        <f t="shared" si="144"/>
        <v>100</v>
      </c>
      <c r="M186" s="5">
        <f t="shared" ref="M186:N186" si="157">N(0)</f>
        <v>0</v>
      </c>
      <c r="N186" s="30">
        <f t="shared" si="157"/>
        <v>0</v>
      </c>
      <c r="O186" s="30">
        <f t="shared" si="146"/>
        <v>0</v>
      </c>
      <c r="P186" s="30"/>
      <c r="Q186" s="30">
        <f t="shared" si="147"/>
        <v>0</v>
      </c>
      <c r="R186" s="32">
        <f>N(200)</f>
        <v>200</v>
      </c>
      <c r="S186" s="33">
        <f t="shared" si="148"/>
        <v>200</v>
      </c>
      <c r="T186" s="34"/>
      <c r="U186" s="34">
        <f t="shared" si="149"/>
        <v>100</v>
      </c>
    </row>
    <row r="187" spans="1:21" hidden="1" outlineLevel="1" collapsed="1">
      <c r="A187" s="22"/>
      <c r="B187" s="35" t="str">
        <f>"    "&amp;"Tap o.l."</f>
        <v xml:space="preserve">    Tap o.l.</v>
      </c>
      <c r="C187" s="36"/>
      <c r="D187" s="37">
        <f t="shared" ref="D187:E187" si="158">SUM(D186)</f>
        <v>0</v>
      </c>
      <c r="E187" s="33">
        <f t="shared" si="158"/>
        <v>0</v>
      </c>
      <c r="F187" s="33">
        <f t="shared" si="141"/>
        <v>0</v>
      </c>
      <c r="G187" s="33"/>
      <c r="H187" s="38">
        <f t="shared" si="142"/>
        <v>0</v>
      </c>
      <c r="I187" s="39">
        <f>SUM(I186)</f>
        <v>200</v>
      </c>
      <c r="J187" s="33">
        <f t="shared" si="143"/>
        <v>200</v>
      </c>
      <c r="K187" s="33"/>
      <c r="L187" s="33">
        <f t="shared" si="144"/>
        <v>100</v>
      </c>
      <c r="M187" s="37">
        <f t="shared" ref="M187:N187" si="159">SUM(M186)</f>
        <v>0</v>
      </c>
      <c r="N187" s="33">
        <f t="shared" si="159"/>
        <v>0</v>
      </c>
      <c r="O187" s="33">
        <f t="shared" si="146"/>
        <v>0</v>
      </c>
      <c r="P187" s="33"/>
      <c r="Q187" s="33">
        <f t="shared" si="147"/>
        <v>0</v>
      </c>
      <c r="R187" s="39">
        <f>SUM(R186)</f>
        <v>200</v>
      </c>
      <c r="S187" s="33">
        <f t="shared" si="148"/>
        <v>200</v>
      </c>
      <c r="T187" s="34"/>
      <c r="U187" s="34">
        <f t="shared" si="149"/>
        <v>100</v>
      </c>
    </row>
    <row r="188" spans="1:21" collapsed="1">
      <c r="A188" s="22"/>
      <c r="B188" s="41" t="s">
        <v>18</v>
      </c>
      <c r="C188" s="42"/>
      <c r="D188" s="43">
        <f ca="1">SUM(OSRRefD18_2x_0)</f>
        <v>33151002.069999997</v>
      </c>
      <c r="E188" s="44">
        <f ca="1">SUM(OSRRefE18_2x_0)</f>
        <v>30623552.009999998</v>
      </c>
      <c r="F188" s="44">
        <f ca="1">-D188+E188</f>
        <v>-2527450.0599999987</v>
      </c>
      <c r="G188" s="44"/>
      <c r="H188" s="45">
        <f ca="1">IF(E188=0,0,F188*100/E188)</f>
        <v>-8.2532883813565139</v>
      </c>
      <c r="I188" s="46">
        <f ca="1">SUM(OSRRefI18_2x_0)</f>
        <v>27921093.679999996</v>
      </c>
      <c r="J188" s="44">
        <f ca="1">-D188+I188</f>
        <v>-5229908.3900000006</v>
      </c>
      <c r="K188" s="44"/>
      <c r="L188" s="44">
        <f ca="1">IF(I188=0,0,J188*100/I188)</f>
        <v>-18.731029844100295</v>
      </c>
      <c r="M188" s="43">
        <f ca="1">SUM(OSRRefM18_2x_0)</f>
        <v>33151002.069999997</v>
      </c>
      <c r="N188" s="44">
        <f ca="1">SUM(OSRRefN18_2x_0)</f>
        <v>30623552.009999998</v>
      </c>
      <c r="O188" s="44">
        <f ca="1">-M188+N188</f>
        <v>-2527450.0599999987</v>
      </c>
      <c r="P188" s="44"/>
      <c r="Q188" s="44">
        <f ca="1">IF(N188=0,0,O188*100/N188)</f>
        <v>-8.2532883813565139</v>
      </c>
      <c r="R188" s="46">
        <f ca="1">SUM(OSRRefR18_2x_0)</f>
        <v>27921093.679999996</v>
      </c>
      <c r="S188" s="44">
        <f ca="1">-M188+R188</f>
        <v>-5229908.3900000006</v>
      </c>
      <c r="T188" s="47"/>
      <c r="U188" s="47">
        <f ca="1">IF(R188=0,0,S188*100/R188)</f>
        <v>-18.731029844100295</v>
      </c>
    </row>
    <row r="189" spans="1:21">
      <c r="A189" s="22"/>
      <c r="B189" s="48" t="s">
        <v>19</v>
      </c>
      <c r="C189" s="49"/>
      <c r="D189" s="50">
        <f ca="1">SUM(OSRRefD19x_0)</f>
        <v>53043971.729999997</v>
      </c>
      <c r="E189" s="51">
        <f ca="1">SUM(OSRRefE19x_0)</f>
        <v>52345550.265138999</v>
      </c>
      <c r="F189" s="51">
        <f ca="1">-D189+E189</f>
        <v>-698421.46486099809</v>
      </c>
      <c r="G189" s="51"/>
      <c r="H189" s="52">
        <f ca="1">IF(E189=0,0,F189*100/E189)</f>
        <v>-1.3342518348233539</v>
      </c>
      <c r="I189" s="53">
        <f ca="1">SUM(OSRRefI19x_0)</f>
        <v>45013574.00999999</v>
      </c>
      <c r="J189" s="51">
        <f ca="1">-D189+I189</f>
        <v>-8030397.7200000063</v>
      </c>
      <c r="K189" s="51"/>
      <c r="L189" s="51">
        <f ca="1">IF(I189=0,0,J189*100/I189)</f>
        <v>-17.839946941818067</v>
      </c>
      <c r="M189" s="50">
        <f ca="1">SUM(OSRRefM19x_0)</f>
        <v>53043971.729999997</v>
      </c>
      <c r="N189" s="51">
        <f ca="1">SUM(OSRRefN19x_0)</f>
        <v>52345550.265138999</v>
      </c>
      <c r="O189" s="51">
        <f ca="1">-M189+N189</f>
        <v>-698421.46486099809</v>
      </c>
      <c r="P189" s="51"/>
      <c r="Q189" s="51">
        <f ca="1">IF(N189=0,0,O189*100/N189)</f>
        <v>-1.3342518348233539</v>
      </c>
      <c r="R189" s="53">
        <f ca="1">SUM(OSRRefR19x_0)</f>
        <v>45013574.00999999</v>
      </c>
      <c r="S189" s="51">
        <f ca="1">-M189+R189</f>
        <v>-8030397.7200000063</v>
      </c>
      <c r="T189" s="54"/>
      <c r="U189" s="54">
        <f ca="1">IF(R189=0,0,S189*100/R189)</f>
        <v>-17.839946941818067</v>
      </c>
    </row>
    <row r="190" spans="1:21" ht="9.75" customHeight="1">
      <c r="B190" s="57"/>
      <c r="C190" s="24"/>
      <c r="D190" s="58"/>
      <c r="F190" s="59"/>
      <c r="G190" s="59"/>
      <c r="H190" s="60"/>
      <c r="I190" s="61"/>
      <c r="J190" s="59"/>
      <c r="K190" s="59"/>
      <c r="L190" s="59"/>
      <c r="M190" s="62"/>
      <c r="O190" s="59"/>
      <c r="P190" s="59"/>
      <c r="Q190" s="59"/>
      <c r="R190" s="56"/>
      <c r="S190" s="59"/>
      <c r="T190" s="63"/>
      <c r="U190" s="63"/>
    </row>
    <row r="191" spans="1:21" ht="15.6">
      <c r="B191" s="64" t="s">
        <v>209</v>
      </c>
      <c r="C191" s="65"/>
      <c r="D191" s="66">
        <f t="shared" ref="D191:E191" ca="1" si="160">SUM(D49)-SUM(D189)</f>
        <v>-2290648.5800000057</v>
      </c>
      <c r="E191" s="67">
        <f t="shared" ca="1" si="160"/>
        <v>-4830000.1851390004</v>
      </c>
      <c r="F191" s="67">
        <f ca="1">D191-E191</f>
        <v>2539351.6051389948</v>
      </c>
      <c r="G191" s="67"/>
      <c r="H191" s="68">
        <f ca="1">IF(E191=0,0,F191*100/E191)</f>
        <v>-52.574565378943475</v>
      </c>
      <c r="I191" s="69">
        <f ca="1">SUM(I49)-SUM(I189)</f>
        <v>9600.1400000154972</v>
      </c>
      <c r="J191" s="67">
        <f ca="1">D191-I191</f>
        <v>-2300248.7200000212</v>
      </c>
      <c r="K191" s="67"/>
      <c r="L191" s="67">
        <f ca="1">IF(I191=0,0,J191*100/I191)</f>
        <v>-23960.574741579894</v>
      </c>
      <c r="M191" s="66">
        <f t="shared" ref="M191:N191" ca="1" si="161">SUM(M49)-SUM(M189)</f>
        <v>-2290648.5800000057</v>
      </c>
      <c r="N191" s="67">
        <f t="shared" ca="1" si="161"/>
        <v>-4830000.1851390004</v>
      </c>
      <c r="O191" s="67">
        <f ca="1">M191-N191</f>
        <v>2539351.6051389948</v>
      </c>
      <c r="P191" s="67"/>
      <c r="Q191" s="67">
        <f ca="1">IF(N191=0,0,O191*100/N191)</f>
        <v>-52.574565378943475</v>
      </c>
      <c r="R191" s="69">
        <f ca="1">SUM(R49)-SUM(R189)</f>
        <v>9600.1400000154972</v>
      </c>
      <c r="S191" s="67">
        <f ca="1">M191-R191</f>
        <v>-2300248.7200000212</v>
      </c>
      <c r="T191" s="70"/>
      <c r="U191" s="71">
        <f ca="1">IF(R191=0,0,S191*100/R191)</f>
        <v>-23960.574741579894</v>
      </c>
    </row>
    <row r="192" spans="1:21">
      <c r="B192" s="27"/>
      <c r="C192" s="24"/>
      <c r="D192" s="27"/>
      <c r="F192" s="72"/>
      <c r="G192" s="72"/>
      <c r="H192" s="73"/>
      <c r="I192" s="56"/>
      <c r="J192" s="72"/>
      <c r="K192" s="72"/>
      <c r="L192" s="72"/>
      <c r="M192" s="27"/>
      <c r="O192" s="72"/>
      <c r="P192" s="72"/>
      <c r="Q192" s="72"/>
      <c r="R192" s="56"/>
      <c r="S192" s="72"/>
      <c r="T192" s="74"/>
      <c r="U192" s="74"/>
    </row>
    <row r="193" spans="1:21" hidden="1" outlineLevel="2">
      <c r="A193" s="22"/>
      <c r="B193" s="28">
        <v>8050</v>
      </c>
      <c r="C193" s="29" t="s">
        <v>210</v>
      </c>
      <c r="D193" s="5">
        <f>-N(-1563390.09)</f>
        <v>1563390.09</v>
      </c>
      <c r="E193" s="30">
        <f t="shared" ref="E193:E197" si="162">-N(0)</f>
        <v>0</v>
      </c>
      <c r="F193" s="30">
        <f t="shared" ref="F193:F200" si="163">D193-E193</f>
        <v>1563390.09</v>
      </c>
      <c r="G193" s="30"/>
      <c r="H193" s="31">
        <f t="shared" ref="H193:H208" si="164">IF(E193=0,0,F193*100/E193)</f>
        <v>0</v>
      </c>
      <c r="I193" s="32">
        <f>-N(-1470474.21)</f>
        <v>1470474.21</v>
      </c>
      <c r="J193" s="30">
        <f t="shared" ref="J193:J200" si="165">D193-I193</f>
        <v>92915.880000000121</v>
      </c>
      <c r="K193" s="30"/>
      <c r="L193" s="30">
        <f t="shared" ref="L193:L208" si="166">IF(I193=0,0,J193*100/I193)</f>
        <v>6.3187697797161713</v>
      </c>
      <c r="M193" s="5">
        <f>-N(-1563390.09)</f>
        <v>1563390.09</v>
      </c>
      <c r="N193" s="30">
        <f t="shared" ref="N193:N197" si="167">-N(0)</f>
        <v>0</v>
      </c>
      <c r="O193" s="30">
        <f t="shared" ref="O193:O200" si="168">M193-N193</f>
        <v>1563390.09</v>
      </c>
      <c r="P193" s="30"/>
      <c r="Q193" s="30">
        <f t="shared" ref="Q193:Q208" si="169">IF(N193=0,0,O193*100/N193)</f>
        <v>0</v>
      </c>
      <c r="R193" s="32">
        <f>-N(-1470474.21)</f>
        <v>1470474.21</v>
      </c>
      <c r="S193" s="33">
        <f t="shared" ref="S193:S200" si="170">M193-R193</f>
        <v>92915.880000000121</v>
      </c>
      <c r="T193" s="34"/>
      <c r="U193" s="34">
        <f t="shared" ref="U193:U208" si="171">IF(R193=0,0,S193*100/R193)</f>
        <v>6.3187697797161713</v>
      </c>
    </row>
    <row r="194" spans="1:21" hidden="1" outlineLevel="2">
      <c r="A194" s="22"/>
      <c r="B194" s="28">
        <v>8060</v>
      </c>
      <c r="C194" s="29" t="s">
        <v>211</v>
      </c>
      <c r="D194" s="5">
        <f>-N(-22916.84)</f>
        <v>22916.84</v>
      </c>
      <c r="E194" s="30">
        <f t="shared" si="162"/>
        <v>0</v>
      </c>
      <c r="F194" s="30">
        <f t="shared" si="163"/>
        <v>22916.84</v>
      </c>
      <c r="G194" s="30"/>
      <c r="H194" s="31">
        <f t="shared" si="164"/>
        <v>0</v>
      </c>
      <c r="I194" s="32">
        <f>-N(-53230.26)</f>
        <v>53230.26</v>
      </c>
      <c r="J194" s="30">
        <f t="shared" si="165"/>
        <v>-30313.420000000002</v>
      </c>
      <c r="K194" s="30"/>
      <c r="L194" s="30">
        <f t="shared" si="166"/>
        <v>-56.947721089470534</v>
      </c>
      <c r="M194" s="5">
        <f>-N(-22916.84)</f>
        <v>22916.84</v>
      </c>
      <c r="N194" s="30">
        <f t="shared" si="167"/>
        <v>0</v>
      </c>
      <c r="O194" s="30">
        <f t="shared" si="168"/>
        <v>22916.84</v>
      </c>
      <c r="P194" s="30"/>
      <c r="Q194" s="30">
        <f t="shared" si="169"/>
        <v>0</v>
      </c>
      <c r="R194" s="32">
        <f>-N(-53230.26)</f>
        <v>53230.26</v>
      </c>
      <c r="S194" s="33">
        <f t="shared" si="170"/>
        <v>-30313.420000000002</v>
      </c>
      <c r="T194" s="34"/>
      <c r="U194" s="34">
        <f t="shared" si="171"/>
        <v>-56.947721089470534</v>
      </c>
    </row>
    <row r="195" spans="1:21" hidden="1" outlineLevel="2">
      <c r="A195" s="22"/>
      <c r="B195" s="28">
        <v>8071</v>
      </c>
      <c r="C195" s="29" t="s">
        <v>212</v>
      </c>
      <c r="D195" s="5">
        <f>-N(-174467)</f>
        <v>174467</v>
      </c>
      <c r="E195" s="30">
        <f t="shared" si="162"/>
        <v>0</v>
      </c>
      <c r="F195" s="30">
        <f t="shared" si="163"/>
        <v>174467</v>
      </c>
      <c r="G195" s="30"/>
      <c r="H195" s="31">
        <f t="shared" si="164"/>
        <v>0</v>
      </c>
      <c r="I195" s="32">
        <f>-N(-279733)</f>
        <v>279733</v>
      </c>
      <c r="J195" s="30">
        <f t="shared" si="165"/>
        <v>-105266</v>
      </c>
      <c r="K195" s="30"/>
      <c r="L195" s="30">
        <f t="shared" si="166"/>
        <v>-37.630883735562122</v>
      </c>
      <c r="M195" s="5">
        <f>-N(-174467)</f>
        <v>174467</v>
      </c>
      <c r="N195" s="30">
        <f t="shared" si="167"/>
        <v>0</v>
      </c>
      <c r="O195" s="30">
        <f t="shared" si="168"/>
        <v>174467</v>
      </c>
      <c r="P195" s="30"/>
      <c r="Q195" s="30">
        <f t="shared" si="169"/>
        <v>0</v>
      </c>
      <c r="R195" s="32">
        <f>-N(-279733)</f>
        <v>279733</v>
      </c>
      <c r="S195" s="33">
        <f t="shared" si="170"/>
        <v>-105266</v>
      </c>
      <c r="T195" s="34"/>
      <c r="U195" s="34">
        <f t="shared" si="171"/>
        <v>-37.630883735562122</v>
      </c>
    </row>
    <row r="196" spans="1:21" hidden="1" outlineLevel="2">
      <c r="A196" s="22"/>
      <c r="B196" s="28">
        <v>8078</v>
      </c>
      <c r="C196" s="29" t="s">
        <v>213</v>
      </c>
      <c r="D196" s="5">
        <f>-N(-570200.07)</f>
        <v>570200.06999999995</v>
      </c>
      <c r="E196" s="30">
        <f t="shared" si="162"/>
        <v>0</v>
      </c>
      <c r="F196" s="30">
        <f t="shared" si="163"/>
        <v>570200.06999999995</v>
      </c>
      <c r="G196" s="30"/>
      <c r="H196" s="31">
        <f t="shared" si="164"/>
        <v>0</v>
      </c>
      <c r="I196" s="32">
        <f t="shared" ref="I196:I198" si="172">-N(0)</f>
        <v>0</v>
      </c>
      <c r="J196" s="30">
        <f t="shared" si="165"/>
        <v>570200.06999999995</v>
      </c>
      <c r="K196" s="30"/>
      <c r="L196" s="30">
        <f t="shared" si="166"/>
        <v>0</v>
      </c>
      <c r="M196" s="5">
        <f>-N(-570200.07)</f>
        <v>570200.06999999995</v>
      </c>
      <c r="N196" s="30">
        <f t="shared" si="167"/>
        <v>0</v>
      </c>
      <c r="O196" s="30">
        <f t="shared" si="168"/>
        <v>570200.06999999995</v>
      </c>
      <c r="P196" s="30"/>
      <c r="Q196" s="30">
        <f t="shared" si="169"/>
        <v>0</v>
      </c>
      <c r="R196" s="32">
        <f t="shared" ref="R196:R198" si="173">-N(0)</f>
        <v>0</v>
      </c>
      <c r="S196" s="33">
        <f t="shared" si="170"/>
        <v>570200.06999999995</v>
      </c>
      <c r="T196" s="34"/>
      <c r="U196" s="34">
        <f t="shared" si="171"/>
        <v>0</v>
      </c>
    </row>
    <row r="197" spans="1:21" hidden="1" outlineLevel="2">
      <c r="A197" s="22"/>
      <c r="B197" s="28">
        <v>8080</v>
      </c>
      <c r="C197" s="29" t="s">
        <v>214</v>
      </c>
      <c r="D197" s="5">
        <f>-N(-1824701.37)</f>
        <v>1824701.37</v>
      </c>
      <c r="E197" s="30">
        <f t="shared" si="162"/>
        <v>0</v>
      </c>
      <c r="F197" s="30">
        <f t="shared" si="163"/>
        <v>1824701.37</v>
      </c>
      <c r="G197" s="30"/>
      <c r="H197" s="31">
        <f t="shared" si="164"/>
        <v>0</v>
      </c>
      <c r="I197" s="32">
        <f t="shared" si="172"/>
        <v>0</v>
      </c>
      <c r="J197" s="30">
        <f t="shared" si="165"/>
        <v>1824701.37</v>
      </c>
      <c r="K197" s="30"/>
      <c r="L197" s="30">
        <f t="shared" si="166"/>
        <v>0</v>
      </c>
      <c r="M197" s="5">
        <f>-N(-1824701.37)</f>
        <v>1824701.37</v>
      </c>
      <c r="N197" s="30">
        <f t="shared" si="167"/>
        <v>0</v>
      </c>
      <c r="O197" s="30">
        <f t="shared" si="168"/>
        <v>1824701.37</v>
      </c>
      <c r="P197" s="30"/>
      <c r="Q197" s="30">
        <f t="shared" si="169"/>
        <v>0</v>
      </c>
      <c r="R197" s="32">
        <f t="shared" si="173"/>
        <v>0</v>
      </c>
      <c r="S197" s="33">
        <f t="shared" si="170"/>
        <v>1824701.37</v>
      </c>
      <c r="T197" s="34"/>
      <c r="U197" s="34">
        <f t="shared" si="171"/>
        <v>0</v>
      </c>
    </row>
    <row r="198" spans="1:21" hidden="1" outlineLevel="2">
      <c r="A198" s="22"/>
      <c r="B198" s="28">
        <v>8910</v>
      </c>
      <c r="C198" s="29" t="s">
        <v>215</v>
      </c>
      <c r="D198" s="5">
        <f>-N(0)</f>
        <v>0</v>
      </c>
      <c r="E198" s="30">
        <f>-N(-3530000)</f>
        <v>3530000</v>
      </c>
      <c r="F198" s="30">
        <f t="shared" si="163"/>
        <v>-3530000</v>
      </c>
      <c r="G198" s="30"/>
      <c r="H198" s="31">
        <f t="shared" si="164"/>
        <v>-100</v>
      </c>
      <c r="I198" s="32">
        <f t="shared" si="172"/>
        <v>0</v>
      </c>
      <c r="J198" s="30">
        <f t="shared" si="165"/>
        <v>0</v>
      </c>
      <c r="K198" s="30"/>
      <c r="L198" s="30">
        <f t="shared" si="166"/>
        <v>0</v>
      </c>
      <c r="M198" s="5">
        <f>-N(0)</f>
        <v>0</v>
      </c>
      <c r="N198" s="30">
        <f>-N(-3530000)</f>
        <v>3530000</v>
      </c>
      <c r="O198" s="30">
        <f t="shared" si="168"/>
        <v>-3530000</v>
      </c>
      <c r="P198" s="30"/>
      <c r="Q198" s="30">
        <f t="shared" si="169"/>
        <v>-100</v>
      </c>
      <c r="R198" s="32">
        <f t="shared" si="173"/>
        <v>0</v>
      </c>
      <c r="S198" s="33">
        <f t="shared" si="170"/>
        <v>0</v>
      </c>
      <c r="T198" s="34"/>
      <c r="U198" s="34">
        <f t="shared" si="171"/>
        <v>0</v>
      </c>
    </row>
    <row r="199" spans="1:21" hidden="1" outlineLevel="1" collapsed="1">
      <c r="A199" s="22"/>
      <c r="B199" s="35" t="str">
        <f>"    "&amp;"Finansinntekt"</f>
        <v xml:space="preserve">    Finansinntekt</v>
      </c>
      <c r="C199" s="36"/>
      <c r="D199" s="37">
        <f t="shared" ref="D199:E199" si="174">SUM(D193:D198)</f>
        <v>4155675.37</v>
      </c>
      <c r="E199" s="33">
        <f t="shared" si="174"/>
        <v>3530000</v>
      </c>
      <c r="F199" s="33">
        <f t="shared" si="163"/>
        <v>625675.37000000011</v>
      </c>
      <c r="G199" s="33"/>
      <c r="H199" s="38">
        <f t="shared" si="164"/>
        <v>17.724514730878191</v>
      </c>
      <c r="I199" s="39">
        <f>SUM(I193:I198)</f>
        <v>1803437.47</v>
      </c>
      <c r="J199" s="33">
        <f t="shared" si="165"/>
        <v>2352237.9000000004</v>
      </c>
      <c r="K199" s="33"/>
      <c r="L199" s="33">
        <f t="shared" si="166"/>
        <v>130.4307989120355</v>
      </c>
      <c r="M199" s="37">
        <f t="shared" ref="M199:N199" si="175">SUM(M193:M198)</f>
        <v>4155675.37</v>
      </c>
      <c r="N199" s="33">
        <f t="shared" si="175"/>
        <v>3530000</v>
      </c>
      <c r="O199" s="33">
        <f t="shared" si="168"/>
        <v>625675.37000000011</v>
      </c>
      <c r="P199" s="33"/>
      <c r="Q199" s="33">
        <f t="shared" si="169"/>
        <v>17.724514730878191</v>
      </c>
      <c r="R199" s="39">
        <f>SUM(R193:R198)</f>
        <v>1803437.47</v>
      </c>
      <c r="S199" s="33">
        <f t="shared" si="170"/>
        <v>2352237.9000000004</v>
      </c>
      <c r="T199" s="34"/>
      <c r="U199" s="34">
        <f t="shared" si="171"/>
        <v>130.4307989120355</v>
      </c>
    </row>
    <row r="200" spans="1:21" collapsed="1">
      <c r="A200" s="22"/>
      <c r="B200" s="41" t="s">
        <v>216</v>
      </c>
      <c r="C200" s="42"/>
      <c r="D200" s="43">
        <f t="shared" ref="D200:E200" si="176">SUM(D199)</f>
        <v>4155675.37</v>
      </c>
      <c r="E200" s="44">
        <f t="shared" si="176"/>
        <v>3530000</v>
      </c>
      <c r="F200" s="44">
        <f t="shared" si="163"/>
        <v>625675.37000000011</v>
      </c>
      <c r="G200" s="44"/>
      <c r="H200" s="45">
        <f t="shared" si="164"/>
        <v>17.724514730878191</v>
      </c>
      <c r="I200" s="46">
        <f>SUM(I199)</f>
        <v>1803437.47</v>
      </c>
      <c r="J200" s="44">
        <f t="shared" si="165"/>
        <v>2352237.9000000004</v>
      </c>
      <c r="K200" s="44"/>
      <c r="L200" s="44">
        <f t="shared" si="166"/>
        <v>130.4307989120355</v>
      </c>
      <c r="M200" s="43">
        <f t="shared" ref="M200:N200" si="177">SUM(M199)</f>
        <v>4155675.37</v>
      </c>
      <c r="N200" s="44">
        <f t="shared" si="177"/>
        <v>3530000</v>
      </c>
      <c r="O200" s="44">
        <f t="shared" si="168"/>
        <v>625675.37000000011</v>
      </c>
      <c r="P200" s="44"/>
      <c r="Q200" s="44">
        <f t="shared" si="169"/>
        <v>17.724514730878191</v>
      </c>
      <c r="R200" s="46">
        <f>SUM(R199)</f>
        <v>1803437.47</v>
      </c>
      <c r="S200" s="44">
        <f t="shared" si="170"/>
        <v>2352237.9000000004</v>
      </c>
      <c r="T200" s="47"/>
      <c r="U200" s="47">
        <f t="shared" si="171"/>
        <v>130.4307989120355</v>
      </c>
    </row>
    <row r="201" spans="1:21" hidden="1" outlineLevel="2">
      <c r="A201" s="22"/>
      <c r="B201" s="28">
        <v>2911</v>
      </c>
      <c r="C201" s="29" t="s">
        <v>217</v>
      </c>
      <c r="D201" s="5">
        <f t="shared" ref="D201:E201" si="178">N(0)</f>
        <v>0</v>
      </c>
      <c r="E201" s="30">
        <f t="shared" si="178"/>
        <v>0</v>
      </c>
      <c r="F201" s="30">
        <f t="shared" ref="F201:F208" si="179">-D201+E201</f>
        <v>0</v>
      </c>
      <c r="G201" s="30"/>
      <c r="H201" s="31">
        <f t="shared" si="164"/>
        <v>0</v>
      </c>
      <c r="I201" s="32">
        <f>N(0)</f>
        <v>0</v>
      </c>
      <c r="J201" s="30">
        <f t="shared" ref="J201:J208" si="180">-D201+I201</f>
        <v>0</v>
      </c>
      <c r="K201" s="30"/>
      <c r="L201" s="30">
        <f t="shared" si="166"/>
        <v>0</v>
      </c>
      <c r="M201" s="5">
        <f t="shared" ref="M201:N201" si="181">N(0)</f>
        <v>0</v>
      </c>
      <c r="N201" s="30">
        <f t="shared" si="181"/>
        <v>0</v>
      </c>
      <c r="O201" s="30">
        <f t="shared" ref="O201:O208" si="182">-M201+N201</f>
        <v>0</v>
      </c>
      <c r="P201" s="30"/>
      <c r="Q201" s="30">
        <f t="shared" si="169"/>
        <v>0</v>
      </c>
      <c r="R201" s="32">
        <f>N(0)</f>
        <v>0</v>
      </c>
      <c r="S201" s="30">
        <f t="shared" ref="S201:S208" si="183">-M201+R201</f>
        <v>0</v>
      </c>
      <c r="T201" s="75"/>
      <c r="U201" s="75">
        <f t="shared" si="171"/>
        <v>0</v>
      </c>
    </row>
    <row r="202" spans="1:21" hidden="1" outlineLevel="1" collapsed="1">
      <c r="A202" s="22"/>
      <c r="B202" s="35" t="str">
        <f>"    "&amp;" "</f>
        <v xml:space="preserve">     </v>
      </c>
      <c r="C202" s="36"/>
      <c r="D202" s="37">
        <f t="shared" ref="D202:E202" si="184">SUM(D201)</f>
        <v>0</v>
      </c>
      <c r="E202" s="33">
        <f t="shared" si="184"/>
        <v>0</v>
      </c>
      <c r="F202" s="33">
        <f t="shared" si="179"/>
        <v>0</v>
      </c>
      <c r="G202" s="33"/>
      <c r="H202" s="38">
        <f t="shared" si="164"/>
        <v>0</v>
      </c>
      <c r="I202" s="39">
        <f>SUM(I201)</f>
        <v>0</v>
      </c>
      <c r="J202" s="33">
        <f t="shared" si="180"/>
        <v>0</v>
      </c>
      <c r="K202" s="33"/>
      <c r="L202" s="33">
        <f t="shared" si="166"/>
        <v>0</v>
      </c>
      <c r="M202" s="37">
        <f t="shared" ref="M202:N202" si="185">SUM(M201)</f>
        <v>0</v>
      </c>
      <c r="N202" s="33">
        <f t="shared" si="185"/>
        <v>0</v>
      </c>
      <c r="O202" s="33">
        <f t="shared" si="182"/>
        <v>0</v>
      </c>
      <c r="P202" s="33"/>
      <c r="Q202" s="33">
        <f t="shared" si="169"/>
        <v>0</v>
      </c>
      <c r="R202" s="39">
        <f>SUM(R201)</f>
        <v>0</v>
      </c>
      <c r="S202" s="33">
        <f t="shared" si="183"/>
        <v>0</v>
      </c>
      <c r="T202" s="34"/>
      <c r="U202" s="34">
        <f t="shared" si="171"/>
        <v>0</v>
      </c>
    </row>
    <row r="203" spans="1:21" hidden="1" outlineLevel="2">
      <c r="A203" s="22"/>
      <c r="B203" s="28">
        <v>8100</v>
      </c>
      <c r="C203" s="29" t="s">
        <v>218</v>
      </c>
      <c r="D203" s="5">
        <f t="shared" ref="D203:E208" si="186">N(0)</f>
        <v>0</v>
      </c>
      <c r="E203" s="30">
        <f t="shared" si="186"/>
        <v>0</v>
      </c>
      <c r="F203" s="30">
        <f t="shared" si="179"/>
        <v>0</v>
      </c>
      <c r="G203" s="30"/>
      <c r="H203" s="31">
        <f t="shared" si="164"/>
        <v>0</v>
      </c>
      <c r="I203" s="32">
        <f>N(2110091.84)</f>
        <v>2110091.84</v>
      </c>
      <c r="J203" s="30">
        <f t="shared" si="180"/>
        <v>2110091.84</v>
      </c>
      <c r="K203" s="30"/>
      <c r="L203" s="30">
        <f t="shared" si="166"/>
        <v>100</v>
      </c>
      <c r="M203" s="5">
        <f t="shared" ref="M203:N208" si="187">N(0)</f>
        <v>0</v>
      </c>
      <c r="N203" s="30">
        <f t="shared" si="187"/>
        <v>0</v>
      </c>
      <c r="O203" s="30">
        <f t="shared" si="182"/>
        <v>0</v>
      </c>
      <c r="P203" s="30"/>
      <c r="Q203" s="30">
        <f t="shared" si="169"/>
        <v>0</v>
      </c>
      <c r="R203" s="32">
        <f>N(2110091.84)</f>
        <v>2110091.84</v>
      </c>
      <c r="S203" s="30">
        <f t="shared" si="183"/>
        <v>2110091.84</v>
      </c>
      <c r="T203" s="75"/>
      <c r="U203" s="75">
        <f t="shared" si="171"/>
        <v>100</v>
      </c>
    </row>
    <row r="204" spans="1:21" hidden="1" outlineLevel="2">
      <c r="A204" s="22"/>
      <c r="B204" s="28">
        <v>8120</v>
      </c>
      <c r="C204" s="29" t="s">
        <v>219</v>
      </c>
      <c r="D204" s="5">
        <f>N(1160000)</f>
        <v>1160000</v>
      </c>
      <c r="E204" s="30">
        <f t="shared" si="186"/>
        <v>0</v>
      </c>
      <c r="F204" s="30">
        <f t="shared" si="179"/>
        <v>-1160000</v>
      </c>
      <c r="G204" s="30"/>
      <c r="H204" s="31">
        <f t="shared" si="164"/>
        <v>0</v>
      </c>
      <c r="I204" s="32">
        <f>N(0)</f>
        <v>0</v>
      </c>
      <c r="J204" s="30">
        <f t="shared" si="180"/>
        <v>-1160000</v>
      </c>
      <c r="K204" s="30"/>
      <c r="L204" s="30">
        <f t="shared" si="166"/>
        <v>0</v>
      </c>
      <c r="M204" s="5">
        <f>N(1160000)</f>
        <v>1160000</v>
      </c>
      <c r="N204" s="30">
        <f t="shared" si="187"/>
        <v>0</v>
      </c>
      <c r="O204" s="30">
        <f t="shared" si="182"/>
        <v>-1160000</v>
      </c>
      <c r="P204" s="30"/>
      <c r="Q204" s="30">
        <f t="shared" si="169"/>
        <v>0</v>
      </c>
      <c r="R204" s="32">
        <f>N(0)</f>
        <v>0</v>
      </c>
      <c r="S204" s="30">
        <f t="shared" si="183"/>
        <v>-1160000</v>
      </c>
      <c r="T204" s="75"/>
      <c r="U204" s="75">
        <f t="shared" si="171"/>
        <v>0</v>
      </c>
    </row>
    <row r="205" spans="1:21" hidden="1" outlineLevel="2">
      <c r="A205" s="22"/>
      <c r="B205" s="28">
        <v>8150</v>
      </c>
      <c r="C205" s="29" t="s">
        <v>221</v>
      </c>
      <c r="D205" s="5">
        <f>N(0.84)</f>
        <v>0.84</v>
      </c>
      <c r="E205" s="30">
        <f t="shared" si="186"/>
        <v>0</v>
      </c>
      <c r="F205" s="30">
        <f t="shared" si="179"/>
        <v>-0.84</v>
      </c>
      <c r="G205" s="30"/>
      <c r="H205" s="31">
        <f t="shared" si="164"/>
        <v>0</v>
      </c>
      <c r="I205" s="32">
        <f>N(655.57)</f>
        <v>655.57</v>
      </c>
      <c r="J205" s="30">
        <f t="shared" si="180"/>
        <v>654.73</v>
      </c>
      <c r="K205" s="30"/>
      <c r="L205" s="30">
        <f t="shared" si="166"/>
        <v>99.871867230044074</v>
      </c>
      <c r="M205" s="5">
        <f>N(0.84)</f>
        <v>0.84</v>
      </c>
      <c r="N205" s="30">
        <f t="shared" si="187"/>
        <v>0</v>
      </c>
      <c r="O205" s="30">
        <f t="shared" si="182"/>
        <v>-0.84</v>
      </c>
      <c r="P205" s="30"/>
      <c r="Q205" s="30">
        <f t="shared" si="169"/>
        <v>0</v>
      </c>
      <c r="R205" s="32">
        <f>N(655.57)</f>
        <v>655.57</v>
      </c>
      <c r="S205" s="30">
        <f t="shared" si="183"/>
        <v>654.73</v>
      </c>
      <c r="T205" s="75"/>
      <c r="U205" s="75">
        <f t="shared" si="171"/>
        <v>99.871867230044074</v>
      </c>
    </row>
    <row r="206" spans="1:21" hidden="1" outlineLevel="2">
      <c r="A206" s="22"/>
      <c r="B206" s="28">
        <v>8155</v>
      </c>
      <c r="C206" s="29" t="s">
        <v>222</v>
      </c>
      <c r="D206" s="5">
        <f>N(7.65)</f>
        <v>7.65</v>
      </c>
      <c r="E206" s="30">
        <f t="shared" si="186"/>
        <v>0</v>
      </c>
      <c r="F206" s="30">
        <f t="shared" si="179"/>
        <v>-7.65</v>
      </c>
      <c r="G206" s="30"/>
      <c r="H206" s="31">
        <f t="shared" si="164"/>
        <v>0</v>
      </c>
      <c r="I206" s="32">
        <f>N(34.13)</f>
        <v>34.130000000000003</v>
      </c>
      <c r="J206" s="30">
        <f t="shared" si="180"/>
        <v>26.480000000000004</v>
      </c>
      <c r="K206" s="30"/>
      <c r="L206" s="30">
        <f t="shared" si="166"/>
        <v>77.585701728684455</v>
      </c>
      <c r="M206" s="5">
        <f>N(7.65)</f>
        <v>7.65</v>
      </c>
      <c r="N206" s="30">
        <f t="shared" si="187"/>
        <v>0</v>
      </c>
      <c r="O206" s="30">
        <f t="shared" si="182"/>
        <v>-7.65</v>
      </c>
      <c r="P206" s="30"/>
      <c r="Q206" s="30">
        <f t="shared" si="169"/>
        <v>0</v>
      </c>
      <c r="R206" s="32">
        <f>N(34.13)</f>
        <v>34.130000000000003</v>
      </c>
      <c r="S206" s="30">
        <f t="shared" si="183"/>
        <v>26.480000000000004</v>
      </c>
      <c r="T206" s="75"/>
      <c r="U206" s="75">
        <f t="shared" si="171"/>
        <v>77.585701728684455</v>
      </c>
    </row>
    <row r="207" spans="1:21" hidden="1" outlineLevel="2">
      <c r="A207" s="22"/>
      <c r="B207" s="28">
        <v>8160</v>
      </c>
      <c r="C207" s="29" t="s">
        <v>223</v>
      </c>
      <c r="D207" s="5">
        <f>N(43857.57)</f>
        <v>43857.57</v>
      </c>
      <c r="E207" s="30">
        <f t="shared" si="186"/>
        <v>0</v>
      </c>
      <c r="F207" s="30">
        <f t="shared" si="179"/>
        <v>-43857.57</v>
      </c>
      <c r="G207" s="30"/>
      <c r="H207" s="31">
        <f t="shared" si="164"/>
        <v>0</v>
      </c>
      <c r="I207" s="32">
        <f>N(29565.82)</f>
        <v>29565.82</v>
      </c>
      <c r="J207" s="30">
        <f t="shared" si="180"/>
        <v>-14291.75</v>
      </c>
      <c r="K207" s="30"/>
      <c r="L207" s="30">
        <f t="shared" si="166"/>
        <v>-48.338757389444972</v>
      </c>
      <c r="M207" s="5">
        <f>N(43857.57)</f>
        <v>43857.57</v>
      </c>
      <c r="N207" s="30">
        <f t="shared" si="187"/>
        <v>0</v>
      </c>
      <c r="O207" s="30">
        <f t="shared" si="182"/>
        <v>-43857.57</v>
      </c>
      <c r="P207" s="30"/>
      <c r="Q207" s="30">
        <f t="shared" si="169"/>
        <v>0</v>
      </c>
      <c r="R207" s="32">
        <f>N(29565.82)</f>
        <v>29565.82</v>
      </c>
      <c r="S207" s="30">
        <f t="shared" si="183"/>
        <v>-14291.75</v>
      </c>
      <c r="T207" s="75"/>
      <c r="U207" s="75">
        <f t="shared" si="171"/>
        <v>-48.338757389444972</v>
      </c>
    </row>
    <row r="208" spans="1:21" hidden="1" outlineLevel="2">
      <c r="A208" s="22"/>
      <c r="B208" s="28">
        <v>8170</v>
      </c>
      <c r="C208" s="29" t="s">
        <v>224</v>
      </c>
      <c r="D208" s="5">
        <f>N(0)</f>
        <v>0</v>
      </c>
      <c r="E208" s="30">
        <f t="shared" si="186"/>
        <v>0</v>
      </c>
      <c r="F208" s="30">
        <f t="shared" si="179"/>
        <v>0</v>
      </c>
      <c r="G208" s="30"/>
      <c r="H208" s="31">
        <f t="shared" si="164"/>
        <v>0</v>
      </c>
      <c r="I208" s="32">
        <f>N(0)</f>
        <v>0</v>
      </c>
      <c r="J208" s="30">
        <f t="shared" si="180"/>
        <v>0</v>
      </c>
      <c r="K208" s="30"/>
      <c r="L208" s="30">
        <f t="shared" si="166"/>
        <v>0</v>
      </c>
      <c r="M208" s="5">
        <f>N(0)</f>
        <v>0</v>
      </c>
      <c r="N208" s="30">
        <f t="shared" si="187"/>
        <v>0</v>
      </c>
      <c r="O208" s="30">
        <f t="shared" si="182"/>
        <v>0</v>
      </c>
      <c r="P208" s="30"/>
      <c r="Q208" s="30">
        <f t="shared" si="169"/>
        <v>0</v>
      </c>
      <c r="R208" s="32">
        <f>N(0)</f>
        <v>0</v>
      </c>
      <c r="S208" s="30">
        <f t="shared" si="183"/>
        <v>0</v>
      </c>
      <c r="T208" s="75"/>
      <c r="U208" s="75">
        <f t="shared" si="171"/>
        <v>0</v>
      </c>
    </row>
    <row r="209" spans="1:22" hidden="1" outlineLevel="1">
      <c r="A209" s="22"/>
      <c r="B209" s="35" t="str">
        <f>"    "&amp;"Finanskostnad"</f>
        <v xml:space="preserve">    Finanskostnad</v>
      </c>
      <c r="C209" s="36"/>
      <c r="D209" s="37">
        <f t="shared" ref="D209:E209" si="188">SUM(D203:D208)</f>
        <v>1203866.06</v>
      </c>
      <c r="E209" s="33">
        <f t="shared" si="188"/>
        <v>0</v>
      </c>
      <c r="F209" s="33">
        <f>-D209+E209</f>
        <v>-1203866.06</v>
      </c>
      <c r="G209" s="33"/>
      <c r="H209" s="38">
        <f>IF(E209=0,0,F209*100/E209)</f>
        <v>0</v>
      </c>
      <c r="I209" s="39">
        <f>SUM(I203:I208)</f>
        <v>2140347.3599999994</v>
      </c>
      <c r="J209" s="33">
        <f>-D209+I209</f>
        <v>936481.29999999935</v>
      </c>
      <c r="K209" s="33"/>
      <c r="L209" s="33">
        <f>IF(I209=0,0,J209*100/I209)</f>
        <v>43.753706407729986</v>
      </c>
      <c r="M209" s="37">
        <f t="shared" ref="M209:N209" si="189">SUM(M203:M208)</f>
        <v>1203866.06</v>
      </c>
      <c r="N209" s="33">
        <f t="shared" si="189"/>
        <v>0</v>
      </c>
      <c r="O209" s="33">
        <f>-M209+N209</f>
        <v>-1203866.06</v>
      </c>
      <c r="P209" s="33"/>
      <c r="Q209" s="33">
        <f>IF(N209=0,0,O209*100/N209)</f>
        <v>0</v>
      </c>
      <c r="R209" s="39">
        <f>SUM(R203:R208)</f>
        <v>2140347.3599999994</v>
      </c>
      <c r="S209" s="33">
        <f>-M209+R209</f>
        <v>936481.29999999935</v>
      </c>
      <c r="T209" s="34"/>
      <c r="U209" s="34">
        <f>IF(R209=0,0,S209*100/R209)</f>
        <v>43.753706407729986</v>
      </c>
    </row>
    <row r="210" spans="1:22" collapsed="1">
      <c r="A210" s="22"/>
      <c r="B210" s="41" t="s">
        <v>225</v>
      </c>
      <c r="C210" s="42"/>
      <c r="D210" s="43">
        <f t="shared" ref="D210:E210" si="190">SUM(D202,D209)</f>
        <v>1203866.06</v>
      </c>
      <c r="E210" s="44">
        <f t="shared" si="190"/>
        <v>0</v>
      </c>
      <c r="F210" s="44">
        <f>-D210+E210</f>
        <v>-1203866.06</v>
      </c>
      <c r="G210" s="44"/>
      <c r="H210" s="45">
        <f t="shared" ref="H210:H211" si="191">IF(E210=0,0,F210*100/E210)</f>
        <v>0</v>
      </c>
      <c r="I210" s="46">
        <f>SUM(I202,I209)</f>
        <v>2140347.3599999994</v>
      </c>
      <c r="J210" s="44">
        <f>-D210+I210</f>
        <v>936481.29999999935</v>
      </c>
      <c r="K210" s="44"/>
      <c r="L210" s="44">
        <f t="shared" ref="L210:L211" si="192">IF(I210=0,0,J210*100/I210)</f>
        <v>43.753706407729986</v>
      </c>
      <c r="M210" s="43">
        <f t="shared" ref="M210:N210" si="193">SUM(M202,M209)</f>
        <v>1203866.06</v>
      </c>
      <c r="N210" s="44">
        <f t="shared" si="193"/>
        <v>0</v>
      </c>
      <c r="O210" s="44">
        <f>-M210+N210</f>
        <v>-1203866.06</v>
      </c>
      <c r="P210" s="44"/>
      <c r="Q210" s="44">
        <f t="shared" ref="Q210:Q211" si="194">IF(N210=0,0,O210*100/N210)</f>
        <v>0</v>
      </c>
      <c r="R210" s="46">
        <f>SUM(R202,R209)</f>
        <v>2140347.3599999994</v>
      </c>
      <c r="S210" s="44">
        <f>-M210+R210</f>
        <v>936481.29999999935</v>
      </c>
      <c r="T210" s="47"/>
      <c r="U210" s="47">
        <f t="shared" ref="U210:U211" si="195">IF(R210=0,0,S210*100/R210)</f>
        <v>43.753706407729986</v>
      </c>
    </row>
    <row r="211" spans="1:22">
      <c r="A211" s="22"/>
      <c r="B211" s="48" t="s">
        <v>226</v>
      </c>
      <c r="C211" s="49"/>
      <c r="D211" s="50">
        <f t="shared" ref="D211:E211" si="196">SUM(D200)-SUM(D210)</f>
        <v>2951809.31</v>
      </c>
      <c r="E211" s="51">
        <f t="shared" si="196"/>
        <v>3530000</v>
      </c>
      <c r="F211" s="51">
        <f>D211-E211</f>
        <v>-578190.68999999994</v>
      </c>
      <c r="G211" s="51"/>
      <c r="H211" s="52">
        <f t="shared" si="191"/>
        <v>-16.379339660056655</v>
      </c>
      <c r="I211" s="53">
        <f>SUM(I200)-SUM(I210)</f>
        <v>-336909.88999999943</v>
      </c>
      <c r="J211" s="51">
        <f>D211-I211</f>
        <v>3288719.1999999993</v>
      </c>
      <c r="K211" s="51"/>
      <c r="L211" s="51">
        <f t="shared" si="192"/>
        <v>-976.1420776338756</v>
      </c>
      <c r="M211" s="50">
        <f t="shared" ref="M211:N211" si="197">SUM(M200)-SUM(M210)</f>
        <v>2951809.31</v>
      </c>
      <c r="N211" s="51">
        <f t="shared" si="197"/>
        <v>3530000</v>
      </c>
      <c r="O211" s="51">
        <f>M211-N211</f>
        <v>-578190.68999999994</v>
      </c>
      <c r="P211" s="51"/>
      <c r="Q211" s="51">
        <f t="shared" si="194"/>
        <v>-16.379339660056655</v>
      </c>
      <c r="R211" s="53">
        <f>SUM(R200)-SUM(R210)</f>
        <v>-336909.88999999943</v>
      </c>
      <c r="S211" s="51">
        <f>M211-R211</f>
        <v>3288719.1999999993</v>
      </c>
      <c r="T211" s="54"/>
      <c r="U211" s="54">
        <f t="shared" si="195"/>
        <v>-976.1420776338756</v>
      </c>
    </row>
    <row r="212" spans="1:22">
      <c r="A212" s="22"/>
      <c r="B212" s="27"/>
      <c r="C212" s="24"/>
      <c r="D212" s="58"/>
      <c r="E212" s="76"/>
      <c r="F212" s="59"/>
      <c r="G212" s="59"/>
      <c r="H212" s="60"/>
      <c r="I212" s="61"/>
      <c r="J212" s="59"/>
      <c r="K212" s="59"/>
      <c r="L212" s="59"/>
      <c r="M212" s="58"/>
      <c r="N212" s="76"/>
      <c r="O212" s="59"/>
      <c r="P212" s="59"/>
      <c r="Q212" s="59"/>
      <c r="R212" s="61"/>
      <c r="S212" s="59"/>
      <c r="T212" s="63"/>
      <c r="U212" s="63"/>
    </row>
    <row r="213" spans="1:22" ht="15.6">
      <c r="B213" s="77" t="s">
        <v>227</v>
      </c>
      <c r="C213" s="78"/>
      <c r="D213" s="79">
        <f t="shared" ref="D213:E213" ca="1" si="198">IFERROR(SUM(D191)+SUM(D211),0)</f>
        <v>661160.72999999439</v>
      </c>
      <c r="E213" s="80">
        <f t="shared" ca="1" si="198"/>
        <v>-1300000.1851390004</v>
      </c>
      <c r="F213" s="80">
        <f ca="1">D213-E213</f>
        <v>1961160.9151389948</v>
      </c>
      <c r="G213" s="80"/>
      <c r="H213" s="81">
        <f ca="1">IF(E213=0,0,F213*100/E213)</f>
        <v>-150.85851044931204</v>
      </c>
      <c r="I213" s="82">
        <f ca="1">IFERROR(SUM(I191)+SUM(I211),0)</f>
        <v>-327309.74999998393</v>
      </c>
      <c r="J213" s="80">
        <f ca="1">D213-I213</f>
        <v>988470.47999997833</v>
      </c>
      <c r="K213" s="80"/>
      <c r="L213" s="80">
        <f ca="1">IF(I213=0,0,J213*100/I213)</f>
        <v>-301.99848308827552</v>
      </c>
      <c r="M213" s="79">
        <f t="shared" ref="M213:N213" ca="1" si="199">IFERROR(SUM(M191)+SUM(M211),0)</f>
        <v>661160.72999999439</v>
      </c>
      <c r="N213" s="80">
        <f t="shared" ca="1" si="199"/>
        <v>-1300000.1851390004</v>
      </c>
      <c r="O213" s="80">
        <f ca="1">M213-N213</f>
        <v>1961160.9151389948</v>
      </c>
      <c r="P213" s="80"/>
      <c r="Q213" s="80">
        <f ca="1">IF(N213=0,0,O213*100/N213)</f>
        <v>-150.85851044931204</v>
      </c>
      <c r="R213" s="82">
        <f ca="1">IFERROR(SUM(R191)+SUM(R211),0)</f>
        <v>-327309.74999998393</v>
      </c>
      <c r="S213" s="80">
        <f ca="1">M213-R213</f>
        <v>988470.47999997833</v>
      </c>
      <c r="T213" s="83"/>
      <c r="U213" s="84">
        <f ca="1">IF(R213=0,0,S213*100/R213)</f>
        <v>-301.99848308827552</v>
      </c>
    </row>
    <row r="214" spans="1:22" ht="15.6">
      <c r="B214" s="85"/>
      <c r="C214" s="86"/>
      <c r="D214" s="87"/>
      <c r="E214" s="87"/>
      <c r="F214" s="87"/>
      <c r="G214" s="87"/>
      <c r="H214" s="88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</row>
    <row r="215" spans="1:22" hidden="1" outlineLevel="2">
      <c r="A215" s="22"/>
      <c r="B215" s="28">
        <v>8914</v>
      </c>
      <c r="C215" s="29" t="s">
        <v>228</v>
      </c>
      <c r="D215" s="30">
        <f>N(-4118535.16)</f>
        <v>-4118535.16</v>
      </c>
      <c r="E215" s="30">
        <f t="shared" ref="E215:E219" si="200">N(0)</f>
        <v>0</v>
      </c>
      <c r="F215" s="30">
        <f t="shared" ref="F215:F221" si="201">-D215+E215</f>
        <v>4118535.16</v>
      </c>
      <c r="G215" s="30"/>
      <c r="H215" s="31">
        <f t="shared" ref="H215:H221" si="202">IF(E215=0,0,F215*100/E215)</f>
        <v>0</v>
      </c>
      <c r="I215" s="32">
        <f>N(-1288199.67)</f>
        <v>-1288199.67</v>
      </c>
      <c r="J215" s="30">
        <f t="shared" ref="J215:J221" si="203">-D215+I215</f>
        <v>2830335.49</v>
      </c>
      <c r="K215" s="30"/>
      <c r="L215" s="30">
        <f t="shared" ref="L215:L221" si="204">IF(I215=0,0,J215*100/I215)</f>
        <v>-219.71248370215778</v>
      </c>
      <c r="M215" s="30">
        <f>N(-4118535.16)</f>
        <v>-4118535.16</v>
      </c>
      <c r="N215" s="30">
        <f t="shared" ref="N215:N219" si="205">N(0)</f>
        <v>0</v>
      </c>
      <c r="O215" s="30">
        <f t="shared" ref="O215:O221" si="206">-M215+N215</f>
        <v>4118535.16</v>
      </c>
      <c r="P215" s="30"/>
      <c r="Q215" s="30">
        <f t="shared" ref="Q215:Q221" si="207">IF(N215=0,0,O215*100/N215)</f>
        <v>0</v>
      </c>
      <c r="R215" s="32">
        <f>N(-1288199.67)</f>
        <v>-1288199.67</v>
      </c>
      <c r="S215" s="30">
        <f t="shared" ref="S215:S221" si="208">-M215+R215</f>
        <v>2830335.49</v>
      </c>
      <c r="T215" s="30"/>
      <c r="U215" s="75">
        <f t="shared" ref="U215:U221" si="209">IF(R215=0,0,S215*100/R215)</f>
        <v>-219.71248370215778</v>
      </c>
      <c r="V215" s="27"/>
    </row>
    <row r="216" spans="1:22" hidden="1" outlineLevel="2">
      <c r="A216" s="22"/>
      <c r="B216" s="28">
        <v>8920</v>
      </c>
      <c r="C216" s="29" t="s">
        <v>229</v>
      </c>
      <c r="D216" s="30">
        <f>N(574214.84)</f>
        <v>574214.84</v>
      </c>
      <c r="E216" s="30">
        <f t="shared" si="200"/>
        <v>0</v>
      </c>
      <c r="F216" s="30">
        <f t="shared" si="201"/>
        <v>-574214.84</v>
      </c>
      <c r="G216" s="30"/>
      <c r="H216" s="31">
        <f t="shared" si="202"/>
        <v>0</v>
      </c>
      <c r="I216" s="32">
        <f>N(-245907.64)</f>
        <v>-245907.64</v>
      </c>
      <c r="J216" s="30">
        <f t="shared" si="203"/>
        <v>-820122.48</v>
      </c>
      <c r="K216" s="30"/>
      <c r="L216" s="30">
        <f t="shared" si="204"/>
        <v>333.50833670722875</v>
      </c>
      <c r="M216" s="30">
        <f>N(574214.84)</f>
        <v>574214.84</v>
      </c>
      <c r="N216" s="30">
        <f t="shared" si="205"/>
        <v>0</v>
      </c>
      <c r="O216" s="30">
        <f t="shared" si="206"/>
        <v>-574214.84</v>
      </c>
      <c r="P216" s="30"/>
      <c r="Q216" s="30">
        <f t="shared" si="207"/>
        <v>0</v>
      </c>
      <c r="R216" s="32">
        <f>N(-245907.64)</f>
        <v>-245907.64</v>
      </c>
      <c r="S216" s="30">
        <f t="shared" si="208"/>
        <v>-820122.48</v>
      </c>
      <c r="T216" s="30"/>
      <c r="U216" s="75">
        <f t="shared" si="209"/>
        <v>333.50833670722875</v>
      </c>
      <c r="V216" s="27"/>
    </row>
    <row r="217" spans="1:22" hidden="1" outlineLevel="2">
      <c r="A217" s="22"/>
      <c r="B217" s="28">
        <v>8930</v>
      </c>
      <c r="C217" s="29" t="s">
        <v>230</v>
      </c>
      <c r="D217" s="30">
        <f>N(83022.5)</f>
        <v>83022.5</v>
      </c>
      <c r="E217" s="30">
        <f t="shared" si="200"/>
        <v>0</v>
      </c>
      <c r="F217" s="30">
        <f t="shared" si="201"/>
        <v>-83022.5</v>
      </c>
      <c r="G217" s="30"/>
      <c r="H217" s="31">
        <f t="shared" si="202"/>
        <v>0</v>
      </c>
      <c r="I217" s="32">
        <f>N(-35554.41)</f>
        <v>-35554.410000000003</v>
      </c>
      <c r="J217" s="30">
        <f t="shared" si="203"/>
        <v>-118576.91</v>
      </c>
      <c r="K217" s="30"/>
      <c r="L217" s="30">
        <f t="shared" si="204"/>
        <v>333.50830459568868</v>
      </c>
      <c r="M217" s="30">
        <f>N(83022.5)</f>
        <v>83022.5</v>
      </c>
      <c r="N217" s="30">
        <f t="shared" si="205"/>
        <v>0</v>
      </c>
      <c r="O217" s="30">
        <f t="shared" si="206"/>
        <v>-83022.5</v>
      </c>
      <c r="P217" s="30"/>
      <c r="Q217" s="30">
        <f t="shared" si="207"/>
        <v>0</v>
      </c>
      <c r="R217" s="32">
        <f>N(-35554.41)</f>
        <v>-35554.410000000003</v>
      </c>
      <c r="S217" s="30">
        <f t="shared" si="208"/>
        <v>-118576.91</v>
      </c>
      <c r="T217" s="30"/>
      <c r="U217" s="75">
        <f t="shared" si="209"/>
        <v>333.50830459568868</v>
      </c>
      <c r="V217" s="27"/>
    </row>
    <row r="218" spans="1:22" hidden="1" outlineLevel="2">
      <c r="A218" s="22"/>
      <c r="B218" s="28">
        <v>8950</v>
      </c>
      <c r="C218" s="29" t="s">
        <v>231</v>
      </c>
      <c r="D218" s="30">
        <f>N(3994203.96)</f>
        <v>3994203.96</v>
      </c>
      <c r="E218" s="30">
        <f t="shared" si="200"/>
        <v>0</v>
      </c>
      <c r="F218" s="30">
        <f t="shared" si="201"/>
        <v>-3994203.96</v>
      </c>
      <c r="G218" s="30"/>
      <c r="H218" s="31">
        <f t="shared" si="202"/>
        <v>0</v>
      </c>
      <c r="I218" s="32">
        <f>N(0)</f>
        <v>0</v>
      </c>
      <c r="J218" s="30">
        <f t="shared" si="203"/>
        <v>-3994203.96</v>
      </c>
      <c r="K218" s="30"/>
      <c r="L218" s="30">
        <f t="shared" si="204"/>
        <v>0</v>
      </c>
      <c r="M218" s="30">
        <f>N(3994203.96)</f>
        <v>3994203.96</v>
      </c>
      <c r="N218" s="30">
        <f t="shared" si="205"/>
        <v>0</v>
      </c>
      <c r="O218" s="30">
        <f t="shared" si="206"/>
        <v>-3994203.96</v>
      </c>
      <c r="P218" s="30"/>
      <c r="Q218" s="30">
        <f t="shared" si="207"/>
        <v>0</v>
      </c>
      <c r="R218" s="32">
        <f>N(0)</f>
        <v>0</v>
      </c>
      <c r="S218" s="30">
        <f t="shared" si="208"/>
        <v>-3994203.96</v>
      </c>
      <c r="T218" s="30"/>
      <c r="U218" s="75">
        <f t="shared" si="209"/>
        <v>0</v>
      </c>
      <c r="V218" s="27"/>
    </row>
    <row r="219" spans="1:22" hidden="1" outlineLevel="2">
      <c r="A219" s="22"/>
      <c r="B219" s="28">
        <v>8960</v>
      </c>
      <c r="C219" s="29" t="s">
        <v>232</v>
      </c>
      <c r="D219" s="30">
        <f>N(128254.59)</f>
        <v>128254.59</v>
      </c>
      <c r="E219" s="30">
        <f t="shared" si="200"/>
        <v>0</v>
      </c>
      <c r="F219" s="30">
        <f t="shared" si="201"/>
        <v>-128254.59</v>
      </c>
      <c r="G219" s="30"/>
      <c r="H219" s="31">
        <f t="shared" si="202"/>
        <v>0</v>
      </c>
      <c r="I219" s="32">
        <f>N(1242351.97)</f>
        <v>1242351.97</v>
      </c>
      <c r="J219" s="30">
        <f t="shared" si="203"/>
        <v>1114097.3799999999</v>
      </c>
      <c r="K219" s="30"/>
      <c r="L219" s="30">
        <f t="shared" si="204"/>
        <v>89.676469060535226</v>
      </c>
      <c r="M219" s="30">
        <f>N(128254.59)</f>
        <v>128254.59</v>
      </c>
      <c r="N219" s="30">
        <f t="shared" si="205"/>
        <v>0</v>
      </c>
      <c r="O219" s="30">
        <f t="shared" si="206"/>
        <v>-128254.59</v>
      </c>
      <c r="P219" s="30"/>
      <c r="Q219" s="30">
        <f t="shared" si="207"/>
        <v>0</v>
      </c>
      <c r="R219" s="32">
        <f>N(1242351.97)</f>
        <v>1242351.97</v>
      </c>
      <c r="S219" s="30">
        <f t="shared" si="208"/>
        <v>1114097.3799999999</v>
      </c>
      <c r="T219" s="30"/>
      <c r="U219" s="75">
        <f t="shared" si="209"/>
        <v>89.676469060535226</v>
      </c>
      <c r="V219" s="27"/>
    </row>
    <row r="220" spans="1:22" hidden="1" outlineLevel="1" collapsed="1">
      <c r="A220" s="22"/>
      <c r="B220" s="35" t="str">
        <f>"    "&amp;"Overføringer og disponeringer"</f>
        <v xml:space="preserve">    Overføringer og disponeringer</v>
      </c>
      <c r="C220" s="36"/>
      <c r="D220" s="37">
        <f t="shared" ref="D220:E220" si="210">SUM(D215:D219)</f>
        <v>661160.72999999963</v>
      </c>
      <c r="E220" s="33">
        <f t="shared" si="210"/>
        <v>0</v>
      </c>
      <c r="F220" s="33">
        <f t="shared" si="201"/>
        <v>-661160.72999999963</v>
      </c>
      <c r="G220" s="33"/>
      <c r="H220" s="38">
        <f t="shared" si="202"/>
        <v>0</v>
      </c>
      <c r="I220" s="39">
        <f>SUM(I215:I219)</f>
        <v>-327309.75</v>
      </c>
      <c r="J220" s="33">
        <f t="shared" si="203"/>
        <v>-988470.47999999963</v>
      </c>
      <c r="K220" s="33"/>
      <c r="L220" s="33">
        <f t="shared" si="204"/>
        <v>301.99848308826722</v>
      </c>
      <c r="M220" s="37">
        <f t="shared" ref="M220:N220" si="211">SUM(M215:M219)</f>
        <v>661160.72999999963</v>
      </c>
      <c r="N220" s="33">
        <f t="shared" si="211"/>
        <v>0</v>
      </c>
      <c r="O220" s="33">
        <f t="shared" si="206"/>
        <v>-661160.72999999963</v>
      </c>
      <c r="P220" s="33"/>
      <c r="Q220" s="33">
        <f t="shared" si="207"/>
        <v>0</v>
      </c>
      <c r="R220" s="39">
        <f>SUM(R215:R219)</f>
        <v>-327309.75</v>
      </c>
      <c r="S220" s="33">
        <f t="shared" si="208"/>
        <v>-988470.47999999963</v>
      </c>
      <c r="T220" s="33"/>
      <c r="U220" s="34">
        <f t="shared" si="209"/>
        <v>301.99848308826722</v>
      </c>
      <c r="V220" s="27"/>
    </row>
    <row r="221" spans="1:22" collapsed="1">
      <c r="A221" s="22"/>
      <c r="B221" s="89" t="s">
        <v>233</v>
      </c>
      <c r="C221" s="90"/>
      <c r="D221" s="91">
        <f t="shared" ref="D221:E221" si="212">SUM(D220)</f>
        <v>661160.72999999963</v>
      </c>
      <c r="E221" s="92">
        <f t="shared" si="212"/>
        <v>0</v>
      </c>
      <c r="F221" s="92">
        <f t="shared" si="201"/>
        <v>-661160.72999999963</v>
      </c>
      <c r="G221" s="92"/>
      <c r="H221" s="93">
        <f t="shared" si="202"/>
        <v>0</v>
      </c>
      <c r="I221" s="94">
        <f>SUM(I220)</f>
        <v>-327309.75</v>
      </c>
      <c r="J221" s="92">
        <f t="shared" si="203"/>
        <v>-988470.47999999963</v>
      </c>
      <c r="K221" s="92"/>
      <c r="L221" s="92">
        <f t="shared" si="204"/>
        <v>301.99848308826722</v>
      </c>
      <c r="M221" s="91">
        <f t="shared" ref="M221:N221" si="213">SUM(M220)</f>
        <v>661160.72999999963</v>
      </c>
      <c r="N221" s="92">
        <f t="shared" si="213"/>
        <v>0</v>
      </c>
      <c r="O221" s="92">
        <f t="shared" si="206"/>
        <v>-661160.72999999963</v>
      </c>
      <c r="P221" s="92"/>
      <c r="Q221" s="92">
        <f t="shared" si="207"/>
        <v>0</v>
      </c>
      <c r="R221" s="94">
        <f>SUM(R220)</f>
        <v>-327309.75</v>
      </c>
      <c r="S221" s="92">
        <f t="shared" si="208"/>
        <v>-988470.47999999963</v>
      </c>
      <c r="T221" s="92"/>
      <c r="U221" s="95">
        <f t="shared" si="209"/>
        <v>301.99848308826722</v>
      </c>
      <c r="V221" s="27"/>
    </row>
    <row r="222" spans="1:22">
      <c r="R222" s="96"/>
    </row>
    <row r="223" spans="1:22">
      <c r="C223" s="97"/>
      <c r="R223" s="6"/>
    </row>
  </sheetData>
  <mergeCells count="2">
    <mergeCell ref="D9:L9"/>
    <mergeCell ref="M9:U9"/>
  </mergeCells>
  <conditionalFormatting sqref="B5:B7 D5:D7">
    <cfRule type="expression" dxfId="4" priority="1">
      <formula>LEFT(B5,1)="x"</formula>
    </cfRule>
  </conditionalFormatting>
  <conditionalFormatting sqref="C5:C7 E5:E7">
    <cfRule type="expression" dxfId="3" priority="2">
      <formula>LEFT(B5,1)="x"</formula>
    </cfRule>
  </conditionalFormatting>
  <pageMargins left="0.23622047244094491" right="0.23622047244094491" top="0.35433070866141736" bottom="0.35433070866141736" header="0.31496062992125984" footer="0.31496062992125984"/>
  <pageSetup paperSize="9" scale="72" fitToHeight="0" orientation="landscape"/>
  <headerFooter>
    <oddFooter>&amp;C&amp;G&amp;R
Side &amp;P av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E4702-2ADF-4BDF-9673-01EFED7EC47D}">
  <sheetPr>
    <pageSetUpPr fitToPage="1"/>
  </sheetPr>
  <dimension ref="A1:D196"/>
  <sheetViews>
    <sheetView showGridLines="0" workbookViewId="0">
      <pane ySplit="10" topLeftCell="A11" activePane="bottomLeft" state="frozen"/>
      <selection pane="bottomLeft" activeCell="B24" sqref="B24"/>
    </sheetView>
  </sheetViews>
  <sheetFormatPr defaultColWidth="11.42578125" defaultRowHeight="14.45" outlineLevelRow="2"/>
  <cols>
    <col min="1" max="1" width="1.7109375" customWidth="1"/>
    <col min="2" max="2" width="16" customWidth="1"/>
    <col min="3" max="3" width="32.7109375" customWidth="1"/>
    <col min="4" max="4" width="12.7109375" customWidth="1"/>
  </cols>
  <sheetData>
    <row r="1" spans="1:4" ht="9.9499999999999993" customHeight="1">
      <c r="B1" s="2"/>
      <c r="C1" s="2"/>
      <c r="D1" s="2"/>
    </row>
    <row r="2" spans="1:4" ht="18">
      <c r="A2" s="7"/>
      <c r="B2" s="8" t="s">
        <v>315</v>
      </c>
      <c r="C2" s="7"/>
      <c r="D2" s="7"/>
    </row>
    <row r="3" spans="1:4" ht="15.75" customHeight="1">
      <c r="A3" s="7"/>
      <c r="B3" s="10" t="s">
        <v>316</v>
      </c>
      <c r="C3" s="7"/>
      <c r="D3" s="7"/>
    </row>
    <row r="4" spans="1:4" ht="11.25" hidden="1" customHeight="1" outlineLevel="1">
      <c r="A4" s="7"/>
      <c r="B4" s="8"/>
      <c r="C4" s="7"/>
      <c r="D4" s="7"/>
    </row>
    <row r="5" spans="1:4" ht="11.25" hidden="1" customHeight="1" outlineLevel="1">
      <c r="A5" s="12"/>
      <c r="B5" s="12" t="s">
        <v>317</v>
      </c>
      <c r="C5" s="13" t="str">
        <f t="shared" ref="C5:D7" si="0">IF("*,NULL"="*,NULL","Alle","*,NULL")</f>
        <v>Alle</v>
      </c>
      <c r="D5" s="13" t="str">
        <f t="shared" si="0"/>
        <v>Alle</v>
      </c>
    </row>
    <row r="6" spans="1:4" ht="11.25" hidden="1" customHeight="1" outlineLevel="1">
      <c r="A6" s="12"/>
      <c r="B6" s="12" t="s">
        <v>319</v>
      </c>
      <c r="C6" s="13" t="str">
        <f t="shared" si="0"/>
        <v>Alle</v>
      </c>
      <c r="D6" s="13" t="str">
        <f t="shared" si="0"/>
        <v>Alle</v>
      </c>
    </row>
    <row r="7" spans="1:4" ht="11.25" hidden="1" customHeight="1" outlineLevel="1">
      <c r="A7" s="12"/>
      <c r="B7" s="12" t="s">
        <v>321</v>
      </c>
      <c r="C7" s="13" t="str">
        <f t="shared" si="0"/>
        <v>Alle</v>
      </c>
      <c r="D7" s="13" t="str">
        <f t="shared" si="0"/>
        <v>Alle</v>
      </c>
    </row>
    <row r="8" spans="1:4" ht="11.25" customHeight="1" collapsed="1">
      <c r="D8" s="6"/>
    </row>
    <row r="9" spans="1:4">
      <c r="B9" s="14" t="str">
        <f>"Periode: "&amp;"202401"&amp;"-"&amp;"202412"</f>
        <v>Periode: 202401-202412</v>
      </c>
      <c r="C9" s="15"/>
      <c r="D9" s="16"/>
    </row>
    <row r="10" spans="1:4" ht="15" customHeight="1">
      <c r="B10" s="17"/>
      <c r="C10" s="18"/>
      <c r="D10" s="20" t="s">
        <v>53</v>
      </c>
    </row>
    <row r="11" spans="1:4" ht="9" customHeight="1">
      <c r="A11" s="22"/>
      <c r="B11" s="23"/>
      <c r="C11" s="24"/>
      <c r="D11" s="26"/>
    </row>
    <row r="12" spans="1:4" hidden="1" outlineLevel="2">
      <c r="A12" s="22"/>
      <c r="B12" s="28">
        <v>3100</v>
      </c>
      <c r="C12" s="29" t="s">
        <v>54</v>
      </c>
      <c r="D12" s="30">
        <f>-N(-129070)</f>
        <v>129070</v>
      </c>
    </row>
    <row r="13" spans="1:4" hidden="1" outlineLevel="2">
      <c r="A13" s="22"/>
      <c r="B13" s="28">
        <v>3110</v>
      </c>
      <c r="C13" s="29" t="s">
        <v>55</v>
      </c>
      <c r="D13" s="30">
        <f>-N(-648)</f>
        <v>648</v>
      </c>
    </row>
    <row r="14" spans="1:4" hidden="1" outlineLevel="1">
      <c r="A14" s="22"/>
      <c r="B14" s="35" t="str">
        <f>"    "&amp;"Salgsinntekt, avgiftspliktig"</f>
        <v xml:space="preserve">    Salgsinntekt, avgiftspliktig</v>
      </c>
      <c r="C14" s="36"/>
      <c r="D14" s="33">
        <f>SUM(D12:D13)</f>
        <v>129718</v>
      </c>
    </row>
    <row r="15" spans="1:4" hidden="1" outlineLevel="2">
      <c r="A15" s="22"/>
      <c r="B15" s="28">
        <v>3701</v>
      </c>
      <c r="C15" s="29" t="s">
        <v>57</v>
      </c>
      <c r="D15" s="30">
        <f>-N(-9500)</f>
        <v>9500</v>
      </c>
    </row>
    <row r="16" spans="1:4" hidden="1" outlineLevel="1">
      <c r="A16" s="22"/>
      <c r="B16" s="35" t="str">
        <f>"    "&amp;"Salgsinntekt, avgiftsfri"</f>
        <v xml:space="preserve">    Salgsinntekt, avgiftsfri</v>
      </c>
      <c r="C16" s="36"/>
      <c r="D16" s="33">
        <f>SUM(D15)</f>
        <v>9500</v>
      </c>
    </row>
    <row r="17" spans="1:4" hidden="1" outlineLevel="2">
      <c r="A17" s="22"/>
      <c r="B17" s="28">
        <v>3200</v>
      </c>
      <c r="C17" s="29" t="s">
        <v>58</v>
      </c>
      <c r="D17" s="30">
        <f>-N(-3548010)</f>
        <v>3548010</v>
      </c>
    </row>
    <row r="18" spans="1:4" hidden="1" outlineLevel="2">
      <c r="A18" s="22"/>
      <c r="B18" s="28">
        <v>3202</v>
      </c>
      <c r="C18" s="29" t="s">
        <v>60</v>
      </c>
      <c r="D18" s="30">
        <f>-N(-17000)</f>
        <v>17000</v>
      </c>
    </row>
    <row r="19" spans="1:4" hidden="1" outlineLevel="2">
      <c r="A19" s="22"/>
      <c r="B19" s="28">
        <v>3205</v>
      </c>
      <c r="C19" s="29" t="s">
        <v>61</v>
      </c>
      <c r="D19" s="30">
        <f>-N(-250885)</f>
        <v>250885</v>
      </c>
    </row>
    <row r="20" spans="1:4" hidden="1" outlineLevel="2">
      <c r="A20" s="22"/>
      <c r="B20" s="28">
        <v>3226</v>
      </c>
      <c r="C20" s="29" t="s">
        <v>62</v>
      </c>
      <c r="D20" s="30">
        <f>-N(-210000)</f>
        <v>210000</v>
      </c>
    </row>
    <row r="21" spans="1:4" hidden="1" outlineLevel="2">
      <c r="A21" s="22"/>
      <c r="B21" s="28">
        <v>3605</v>
      </c>
      <c r="C21" s="29" t="s">
        <v>63</v>
      </c>
      <c r="D21" s="30">
        <f>-N(0)</f>
        <v>0</v>
      </c>
    </row>
    <row r="22" spans="1:4" hidden="1" outlineLevel="2">
      <c r="A22" s="22"/>
      <c r="B22" s="28">
        <v>3990</v>
      </c>
      <c r="C22" s="29" t="s">
        <v>64</v>
      </c>
      <c r="D22" s="30">
        <f>-N(0)</f>
        <v>0</v>
      </c>
    </row>
    <row r="23" spans="1:4" hidden="1" outlineLevel="1">
      <c r="A23" s="22"/>
      <c r="B23" s="35" t="str">
        <f>"    "&amp;"Arrangement"</f>
        <v xml:space="preserve">    Arrangement</v>
      </c>
      <c r="C23" s="36"/>
      <c r="D23" s="33">
        <f>SUM(D17:D22)</f>
        <v>4025895</v>
      </c>
    </row>
    <row r="24" spans="1:4" collapsed="1">
      <c r="A24" s="22"/>
      <c r="B24" s="41" t="s">
        <v>9</v>
      </c>
      <c r="C24" s="42"/>
      <c r="D24" s="44">
        <f>SUM(D14,D16,D23)</f>
        <v>4165113</v>
      </c>
    </row>
    <row r="25" spans="1:4" hidden="1" outlineLevel="2">
      <c r="A25" s="22"/>
      <c r="B25" s="28">
        <v>3218</v>
      </c>
      <c r="C25" s="29" t="s">
        <v>67</v>
      </c>
      <c r="D25" s="30">
        <f>-N(0)</f>
        <v>0</v>
      </c>
    </row>
    <row r="26" spans="1:4" hidden="1" outlineLevel="2">
      <c r="A26" s="22"/>
      <c r="B26" s="28">
        <v>3238</v>
      </c>
      <c r="C26" s="29" t="s">
        <v>69</v>
      </c>
      <c r="D26" s="30">
        <f>-N(-2945001)</f>
        <v>2945001</v>
      </c>
    </row>
    <row r="27" spans="1:4" hidden="1" outlineLevel="1">
      <c r="A27" s="22"/>
      <c r="B27" s="35" t="str">
        <f>"    "&amp;"Gaver"</f>
        <v xml:space="preserve">    Gaver</v>
      </c>
      <c r="C27" s="36"/>
      <c r="D27" s="33">
        <f>SUM(D25:D26)</f>
        <v>2945001</v>
      </c>
    </row>
    <row r="28" spans="1:4" collapsed="1">
      <c r="A28" s="22"/>
      <c r="B28" s="41" t="s">
        <v>70</v>
      </c>
      <c r="C28" s="42"/>
      <c r="D28" s="44">
        <f>SUM(D27)</f>
        <v>2945001</v>
      </c>
    </row>
    <row r="29" spans="1:4" hidden="1" outlineLevel="2">
      <c r="A29" s="22"/>
      <c r="B29" s="28">
        <v>3225</v>
      </c>
      <c r="C29" s="29" t="s">
        <v>71</v>
      </c>
      <c r="D29" s="30">
        <f>-N(-264190)</f>
        <v>264190</v>
      </c>
    </row>
    <row r="30" spans="1:4" hidden="1" outlineLevel="2">
      <c r="A30" s="22"/>
      <c r="B30" s="28">
        <v>3410</v>
      </c>
      <c r="C30" s="29" t="s">
        <v>22</v>
      </c>
      <c r="D30" s="30">
        <f>-N(-2688926)</f>
        <v>2688926</v>
      </c>
    </row>
    <row r="31" spans="1:4" hidden="1" outlineLevel="2">
      <c r="A31" s="22"/>
      <c r="B31" s="28">
        <v>3411</v>
      </c>
      <c r="C31" s="29" t="s">
        <v>23</v>
      </c>
      <c r="D31" s="30">
        <f>-N(-202393)</f>
        <v>202393</v>
      </c>
    </row>
    <row r="32" spans="1:4" hidden="1" outlineLevel="2">
      <c r="A32" s="22"/>
      <c r="B32" s="28">
        <v>3450</v>
      </c>
      <c r="C32" s="29" t="s">
        <v>72</v>
      </c>
      <c r="D32" s="30">
        <f>-N(-13394000)</f>
        <v>13394000</v>
      </c>
    </row>
    <row r="33" spans="1:4" hidden="1" outlineLevel="1">
      <c r="A33" s="22"/>
      <c r="B33" s="35" t="str">
        <f>"    "&amp;"Offentlige tilskudd og refusjoner"</f>
        <v xml:space="preserve">    Offentlige tilskudd og refusjoner</v>
      </c>
      <c r="C33" s="36"/>
      <c r="D33" s="33">
        <f>SUM(D29:D32)</f>
        <v>16549509</v>
      </c>
    </row>
    <row r="34" spans="1:4" hidden="1" outlineLevel="2">
      <c r="A34" s="22"/>
      <c r="B34" s="28">
        <v>3210</v>
      </c>
      <c r="C34" s="29" t="s">
        <v>27</v>
      </c>
      <c r="D34" s="30">
        <f>-N(-14094000)</f>
        <v>14094000</v>
      </c>
    </row>
    <row r="35" spans="1:4" hidden="1" outlineLevel="2">
      <c r="A35" s="22"/>
      <c r="B35" s="28">
        <v>3212</v>
      </c>
      <c r="C35" s="29" t="s">
        <v>28</v>
      </c>
      <c r="D35" s="30">
        <f>-N(0)</f>
        <v>0</v>
      </c>
    </row>
    <row r="36" spans="1:4" hidden="1" outlineLevel="2">
      <c r="A36" s="22"/>
      <c r="B36" s="28">
        <v>3215</v>
      </c>
      <c r="C36" s="29" t="s">
        <v>73</v>
      </c>
      <c r="D36" s="30">
        <f>-N(-100299)</f>
        <v>100299</v>
      </c>
    </row>
    <row r="37" spans="1:4" hidden="1" outlineLevel="2">
      <c r="A37" s="22"/>
      <c r="B37" s="28">
        <v>3230</v>
      </c>
      <c r="C37" s="29" t="s">
        <v>74</v>
      </c>
      <c r="D37" s="30">
        <f>-N(-10500000)</f>
        <v>10500000</v>
      </c>
    </row>
    <row r="38" spans="1:4" hidden="1" outlineLevel="1">
      <c r="A38" s="22"/>
      <c r="B38" s="35" t="str">
        <f>"    "&amp;"Tilskudd frikirkens menigheter"</f>
        <v xml:space="preserve">    Tilskudd frikirkens menigheter</v>
      </c>
      <c r="C38" s="36"/>
      <c r="D38" s="33">
        <f>SUM(D34:D37)</f>
        <v>24694299</v>
      </c>
    </row>
    <row r="39" spans="1:4" hidden="1" outlineLevel="2">
      <c r="A39" s="22"/>
      <c r="B39" s="28">
        <v>3455</v>
      </c>
      <c r="C39" s="29" t="s">
        <v>77</v>
      </c>
      <c r="D39" s="30">
        <f>-N(-1421000)</f>
        <v>1421000</v>
      </c>
    </row>
    <row r="40" spans="1:4" hidden="1" outlineLevel="2">
      <c r="A40" s="22"/>
      <c r="B40" s="28">
        <v>3600</v>
      </c>
      <c r="C40" s="29" t="s">
        <v>78</v>
      </c>
      <c r="D40" s="30">
        <f>-N(-575534)</f>
        <v>575534</v>
      </c>
    </row>
    <row r="41" spans="1:4" hidden="1" outlineLevel="2">
      <c r="A41" s="22"/>
      <c r="B41" s="28">
        <v>3900</v>
      </c>
      <c r="C41" s="29" t="s">
        <v>79</v>
      </c>
      <c r="D41" s="30">
        <f>-N(-28019)</f>
        <v>28019</v>
      </c>
    </row>
    <row r="42" spans="1:4" hidden="1" outlineLevel="1">
      <c r="A42" s="22"/>
      <c r="B42" s="35" t="str">
        <f>"    "&amp;"Annen driftsrelatert inntekt"</f>
        <v xml:space="preserve">    Annen driftsrelatert inntekt</v>
      </c>
      <c r="C42" s="36"/>
      <c r="D42" s="33">
        <f>SUM(D39:D41)</f>
        <v>2024553</v>
      </c>
    </row>
    <row r="43" spans="1:4" collapsed="1">
      <c r="A43" s="22"/>
      <c r="B43" s="41" t="s">
        <v>80</v>
      </c>
      <c r="C43" s="42"/>
      <c r="D43" s="44">
        <f>SUM(D33,D38,D42)</f>
        <v>43268361</v>
      </c>
    </row>
    <row r="44" spans="1:4">
      <c r="A44" s="22"/>
      <c r="B44" s="48" t="s">
        <v>10</v>
      </c>
      <c r="C44" s="49"/>
      <c r="D44" s="51">
        <f>SUM(D24,D28,D43)</f>
        <v>50378475</v>
      </c>
    </row>
    <row r="45" spans="1:4" ht="9" customHeight="1">
      <c r="A45" s="22"/>
      <c r="B45" s="23"/>
      <c r="C45" s="24"/>
    </row>
    <row r="46" spans="1:4" hidden="1" outlineLevel="2">
      <c r="A46" s="22"/>
      <c r="B46" s="28">
        <v>4301</v>
      </c>
      <c r="C46" s="29" t="s">
        <v>81</v>
      </c>
      <c r="D46" s="30">
        <f>N(227089.6)</f>
        <v>227089.6</v>
      </c>
    </row>
    <row r="47" spans="1:4" hidden="1" outlineLevel="2">
      <c r="A47" s="22"/>
      <c r="B47" s="28">
        <v>4305</v>
      </c>
      <c r="C47" s="29" t="s">
        <v>82</v>
      </c>
      <c r="D47" s="30">
        <f>N(97920)</f>
        <v>97920</v>
      </c>
    </row>
    <row r="48" spans="1:4" hidden="1" outlineLevel="2">
      <c r="A48" s="22"/>
      <c r="B48" s="28">
        <v>4360</v>
      </c>
      <c r="C48" s="29" t="s">
        <v>83</v>
      </c>
      <c r="D48" s="30">
        <f>N(63435)</f>
        <v>63435</v>
      </c>
    </row>
    <row r="49" spans="1:4" hidden="1" outlineLevel="1">
      <c r="A49" s="22"/>
      <c r="B49" s="35" t="str">
        <f>"    "&amp;"Forbruk av innkjøpte varer for videresalg"</f>
        <v xml:space="preserve">    Forbruk av innkjøpte varer for videresalg</v>
      </c>
      <c r="C49" s="36"/>
      <c r="D49" s="33">
        <f>SUM(D46:D48)</f>
        <v>388444.6</v>
      </c>
    </row>
    <row r="50" spans="1:4" collapsed="1">
      <c r="A50" s="22"/>
      <c r="B50" s="41" t="s">
        <v>16</v>
      </c>
      <c r="C50" s="42"/>
      <c r="D50" s="44">
        <f>SUM(D49)</f>
        <v>388444.6</v>
      </c>
    </row>
    <row r="51" spans="1:4" hidden="1" outlineLevel="2">
      <c r="A51" s="22"/>
      <c r="B51" s="28">
        <v>5000</v>
      </c>
      <c r="C51" s="29" t="s">
        <v>84</v>
      </c>
      <c r="D51" s="30">
        <f>N(12874963.644294)</f>
        <v>12874963.644293999</v>
      </c>
    </row>
    <row r="52" spans="1:4" hidden="1" outlineLevel="2">
      <c r="A52" s="22"/>
      <c r="B52" s="28">
        <v>5001</v>
      </c>
      <c r="C52" s="29" t="s">
        <v>85</v>
      </c>
      <c r="D52" s="30">
        <f>N(0)</f>
        <v>0</v>
      </c>
    </row>
    <row r="53" spans="1:4" hidden="1" outlineLevel="2">
      <c r="A53" s="22"/>
      <c r="B53" s="28">
        <v>5002</v>
      </c>
      <c r="C53" s="29" t="s">
        <v>86</v>
      </c>
      <c r="D53" s="30">
        <f>N(3836889.344567)</f>
        <v>3836889.3445669999</v>
      </c>
    </row>
    <row r="54" spans="1:4" hidden="1" outlineLevel="2">
      <c r="A54" s="22"/>
      <c r="B54" s="28">
        <v>5005</v>
      </c>
      <c r="C54" s="29" t="s">
        <v>87</v>
      </c>
      <c r="D54" s="30">
        <f>N(0)</f>
        <v>0</v>
      </c>
    </row>
    <row r="55" spans="1:4" hidden="1" outlineLevel="2">
      <c r="A55" s="22"/>
      <c r="B55" s="28">
        <v>5007</v>
      </c>
      <c r="C55" s="29" t="s">
        <v>89</v>
      </c>
      <c r="D55" s="30">
        <f>N(0)</f>
        <v>0</v>
      </c>
    </row>
    <row r="56" spans="1:4" hidden="1" outlineLevel="2">
      <c r="A56" s="22"/>
      <c r="B56" s="28">
        <v>5010</v>
      </c>
      <c r="C56" s="29" t="s">
        <v>92</v>
      </c>
      <c r="D56" s="30">
        <f>N(2046866.399888)</f>
        <v>2046866.399888</v>
      </c>
    </row>
    <row r="57" spans="1:4" hidden="1" outlineLevel="2">
      <c r="A57" s="22"/>
      <c r="B57" s="28">
        <v>5021</v>
      </c>
      <c r="C57" s="29" t="s">
        <v>93</v>
      </c>
      <c r="D57" s="30">
        <f>N(84000)</f>
        <v>84000</v>
      </c>
    </row>
    <row r="58" spans="1:4" hidden="1" outlineLevel="2">
      <c r="A58" s="22"/>
      <c r="B58" s="28">
        <v>5111</v>
      </c>
      <c r="C58" s="29" t="s">
        <v>95</v>
      </c>
      <c r="D58" s="30">
        <f>N(0)</f>
        <v>0</v>
      </c>
    </row>
    <row r="59" spans="1:4" hidden="1" outlineLevel="2">
      <c r="A59" s="22"/>
      <c r="B59" s="28">
        <v>5113</v>
      </c>
      <c r="C59" s="29" t="s">
        <v>97</v>
      </c>
      <c r="D59" s="30">
        <f>N(0)</f>
        <v>0</v>
      </c>
    </row>
    <row r="60" spans="1:4" hidden="1" outlineLevel="2">
      <c r="A60" s="22"/>
      <c r="B60" s="28">
        <v>5190</v>
      </c>
      <c r="C60" s="29" t="s">
        <v>99</v>
      </c>
      <c r="D60" s="30">
        <f>N(0)</f>
        <v>0</v>
      </c>
    </row>
    <row r="61" spans="1:4" hidden="1" outlineLevel="1">
      <c r="A61" s="22"/>
      <c r="B61" s="35" t="str">
        <f>"    "&amp;"Lønn til ansatte"</f>
        <v xml:space="preserve">    Lønn til ansatte</v>
      </c>
      <c r="C61" s="36"/>
      <c r="D61" s="33">
        <f>SUM(D51:D60)</f>
        <v>18842719.388749</v>
      </c>
    </row>
    <row r="62" spans="1:4" hidden="1" outlineLevel="2">
      <c r="A62" s="22"/>
      <c r="B62" s="28">
        <v>5210</v>
      </c>
      <c r="C62" s="29" t="s">
        <v>100</v>
      </c>
      <c r="D62" s="30">
        <f>N(0)</f>
        <v>0</v>
      </c>
    </row>
    <row r="63" spans="1:4" hidden="1" outlineLevel="2">
      <c r="A63" s="22"/>
      <c r="B63" s="28">
        <v>5281</v>
      </c>
      <c r="C63" s="29" t="s">
        <v>107</v>
      </c>
      <c r="D63" s="30">
        <f>N(0)</f>
        <v>0</v>
      </c>
    </row>
    <row r="64" spans="1:4" hidden="1" outlineLevel="2">
      <c r="A64" s="22"/>
      <c r="B64" s="28">
        <v>5285</v>
      </c>
      <c r="C64" s="29" t="s">
        <v>108</v>
      </c>
      <c r="D64" s="30">
        <f>N(0)</f>
        <v>0</v>
      </c>
    </row>
    <row r="65" spans="1:4" hidden="1" outlineLevel="2">
      <c r="A65" s="22"/>
      <c r="B65" s="28">
        <v>5290</v>
      </c>
      <c r="C65" s="29" t="s">
        <v>110</v>
      </c>
      <c r="D65" s="30">
        <f>N(0)</f>
        <v>0</v>
      </c>
    </row>
    <row r="66" spans="1:4" hidden="1" outlineLevel="2">
      <c r="A66" s="22"/>
      <c r="B66" s="28">
        <v>5420</v>
      </c>
      <c r="C66" s="29" t="s">
        <v>111</v>
      </c>
      <c r="D66" s="30">
        <f>N(1267200)</f>
        <v>1267200</v>
      </c>
    </row>
    <row r="67" spans="1:4" hidden="1" outlineLevel="2">
      <c r="A67" s="22"/>
      <c r="B67" s="28">
        <v>5490</v>
      </c>
      <c r="C67" s="29" t="s">
        <v>112</v>
      </c>
      <c r="D67" s="30">
        <f>N(-1267200)</f>
        <v>-1267200</v>
      </c>
    </row>
    <row r="68" spans="1:4" hidden="1" outlineLevel="1">
      <c r="A68" s="22"/>
      <c r="B68" s="35" t="str">
        <f>"    "&amp;"Fordel i arbeidsforhold"</f>
        <v xml:space="preserve">    Fordel i arbeidsforhold</v>
      </c>
      <c r="C68" s="36"/>
      <c r="D68" s="33">
        <f>SUM(D62:D67)</f>
        <v>0</v>
      </c>
    </row>
    <row r="69" spans="1:4" hidden="1" outlineLevel="2">
      <c r="A69" s="22"/>
      <c r="B69" s="28">
        <v>5312</v>
      </c>
      <c r="C69" s="29" t="s">
        <v>113</v>
      </c>
      <c r="D69" s="30">
        <f>N(208248)</f>
        <v>208248</v>
      </c>
    </row>
    <row r="70" spans="1:4" hidden="1" outlineLevel="2">
      <c r="A70" s="22"/>
      <c r="B70" s="28">
        <v>5326</v>
      </c>
      <c r="C70" s="29" t="s">
        <v>114</v>
      </c>
      <c r="D70" s="30">
        <f>N(126999.96)</f>
        <v>126999.96</v>
      </c>
    </row>
    <row r="71" spans="1:4" hidden="1" outlineLevel="2">
      <c r="A71" s="22"/>
      <c r="B71" s="28">
        <v>5391</v>
      </c>
      <c r="C71" s="29" t="s">
        <v>115</v>
      </c>
      <c r="D71" s="30">
        <f>N(0)</f>
        <v>0</v>
      </c>
    </row>
    <row r="72" spans="1:4" hidden="1" outlineLevel="1">
      <c r="A72" s="22"/>
      <c r="B72" s="35" t="str">
        <f>"    "&amp;"Annen oppgavepliktig godtgjørelse"</f>
        <v xml:space="preserve">    Annen oppgavepliktig godtgjørelse</v>
      </c>
      <c r="C72" s="36"/>
      <c r="D72" s="33">
        <f>SUM(D69:D71)</f>
        <v>335247.96000000002</v>
      </c>
    </row>
    <row r="73" spans="1:4" hidden="1" outlineLevel="2">
      <c r="A73" s="22"/>
      <c r="B73" s="28">
        <v>5400</v>
      </c>
      <c r="C73" s="29" t="s">
        <v>116</v>
      </c>
      <c r="D73" s="30">
        <f>N(2003689.170007)</f>
        <v>2003689.170007</v>
      </c>
    </row>
    <row r="74" spans="1:4" hidden="1" outlineLevel="2">
      <c r="A74" s="22"/>
      <c r="B74" s="28">
        <v>5410</v>
      </c>
      <c r="C74" s="29" t="s">
        <v>117</v>
      </c>
      <c r="D74" s="30">
        <f>N(223687.994679)</f>
        <v>223687.994679</v>
      </c>
    </row>
    <row r="75" spans="1:4" hidden="1" outlineLevel="1">
      <c r="A75" s="22"/>
      <c r="B75" s="35" t="str">
        <f>"    "&amp;"Arbeidsgiveravgift og pensjonskostnad"</f>
        <v xml:space="preserve">    Arbeidsgiveravgift og pensjonskostnad</v>
      </c>
      <c r="C75" s="36"/>
      <c r="D75" s="33">
        <f>SUM(D73:D74)</f>
        <v>2227377.164686</v>
      </c>
    </row>
    <row r="76" spans="1:4" hidden="1" outlineLevel="2">
      <c r="A76" s="22"/>
      <c r="B76" s="28">
        <v>5800</v>
      </c>
      <c r="C76" s="29" t="s">
        <v>118</v>
      </c>
      <c r="D76" s="30">
        <f>N(0)</f>
        <v>0</v>
      </c>
    </row>
    <row r="77" spans="1:4" hidden="1" outlineLevel="2">
      <c r="A77" s="22"/>
      <c r="B77" s="28">
        <v>5802</v>
      </c>
      <c r="C77" s="29" t="s">
        <v>119</v>
      </c>
      <c r="D77" s="30">
        <f>N(0)</f>
        <v>0</v>
      </c>
    </row>
    <row r="78" spans="1:4" hidden="1" outlineLevel="2">
      <c r="A78" s="22"/>
      <c r="B78" s="28">
        <v>5860</v>
      </c>
      <c r="C78" s="29" t="s">
        <v>120</v>
      </c>
      <c r="D78" s="30">
        <f>N(0)</f>
        <v>0</v>
      </c>
    </row>
    <row r="79" spans="1:4" hidden="1" outlineLevel="1">
      <c r="A79" s="22"/>
      <c r="B79" s="35" t="str">
        <f>"    "&amp;"Offentlig refusjon vedrørende arbeidskraft"</f>
        <v xml:space="preserve">    Offentlig refusjon vedrørende arbeidskraft</v>
      </c>
      <c r="C79" s="36"/>
      <c r="D79" s="33">
        <f>SUM(D76:D78)</f>
        <v>0</v>
      </c>
    </row>
    <row r="80" spans="1:4" hidden="1" outlineLevel="2">
      <c r="A80" s="22"/>
      <c r="B80" s="28">
        <v>5500</v>
      </c>
      <c r="C80" s="29" t="s">
        <v>121</v>
      </c>
      <c r="D80" s="30">
        <f>N(0)</f>
        <v>0</v>
      </c>
    </row>
    <row r="81" spans="1:4" hidden="1" outlineLevel="2">
      <c r="A81" s="22"/>
      <c r="B81" s="28">
        <v>5900</v>
      </c>
      <c r="C81" s="29" t="s">
        <v>122</v>
      </c>
      <c r="D81" s="30">
        <f>N(25000)</f>
        <v>25000</v>
      </c>
    </row>
    <row r="82" spans="1:4" hidden="1" outlineLevel="2">
      <c r="A82" s="22"/>
      <c r="B82" s="28">
        <v>5910</v>
      </c>
      <c r="C82" s="29" t="s">
        <v>109</v>
      </c>
      <c r="D82" s="30">
        <f>N(9999.96)</f>
        <v>9999.9599999999991</v>
      </c>
    </row>
    <row r="83" spans="1:4" hidden="1" outlineLevel="2">
      <c r="A83" s="22"/>
      <c r="B83" s="28">
        <v>5942</v>
      </c>
      <c r="C83" s="29" t="s">
        <v>123</v>
      </c>
      <c r="D83" s="30">
        <f>N(0)</f>
        <v>0</v>
      </c>
    </row>
    <row r="84" spans="1:4" hidden="1" outlineLevel="2">
      <c r="A84" s="22"/>
      <c r="B84" s="28">
        <v>5947</v>
      </c>
      <c r="C84" s="29" t="s">
        <v>124</v>
      </c>
      <c r="D84" s="30">
        <f>N(1267212)</f>
        <v>1267212</v>
      </c>
    </row>
    <row r="85" spans="1:4" hidden="1" outlineLevel="2">
      <c r="A85" s="22"/>
      <c r="B85" s="28">
        <v>5960</v>
      </c>
      <c r="C85" s="29" t="s">
        <v>125</v>
      </c>
      <c r="D85" s="30">
        <f>N(12000)</f>
        <v>12000</v>
      </c>
    </row>
    <row r="86" spans="1:4" hidden="1" outlineLevel="2">
      <c r="A86" s="22"/>
      <c r="B86" s="28">
        <v>5980</v>
      </c>
      <c r="C86" s="29" t="s">
        <v>126</v>
      </c>
      <c r="D86" s="30">
        <f>N(0)</f>
        <v>0</v>
      </c>
    </row>
    <row r="87" spans="1:4" hidden="1" outlineLevel="2">
      <c r="A87" s="22"/>
      <c r="B87" s="28">
        <v>5990</v>
      </c>
      <c r="C87" s="29" t="s">
        <v>127</v>
      </c>
      <c r="D87" s="30">
        <f>N(35010)</f>
        <v>35010</v>
      </c>
    </row>
    <row r="88" spans="1:4" hidden="1" outlineLevel="2">
      <c r="A88" s="22"/>
      <c r="B88" s="28">
        <v>5999</v>
      </c>
      <c r="C88" s="29" t="s">
        <v>129</v>
      </c>
      <c r="D88" s="30">
        <f>N(0)</f>
        <v>0</v>
      </c>
    </row>
    <row r="89" spans="1:4" hidden="1" outlineLevel="1">
      <c r="A89" s="22"/>
      <c r="B89" s="35" t="str">
        <f>"    "&amp;"Annen personalkostnad"</f>
        <v xml:space="preserve">    Annen personalkostnad</v>
      </c>
      <c r="C89" s="36"/>
      <c r="D89" s="33">
        <f>SUM(D80:D88)</f>
        <v>1349221.96</v>
      </c>
    </row>
    <row r="90" spans="1:4" hidden="1" outlineLevel="2">
      <c r="A90" s="22"/>
      <c r="B90" s="28">
        <v>5994</v>
      </c>
      <c r="C90" s="29" t="s">
        <v>140</v>
      </c>
      <c r="D90" s="30">
        <f>N(0)</f>
        <v>0</v>
      </c>
    </row>
    <row r="91" spans="1:4" hidden="1" outlineLevel="1">
      <c r="A91" s="22"/>
      <c r="B91" s="35" t="str">
        <f>"    "&amp;"Pensjon og forsikring Cornerstone"</f>
        <v xml:space="preserve">    Pensjon og forsikring Cornerstone</v>
      </c>
      <c r="C91" s="36"/>
      <c r="D91" s="33">
        <f>SUM(D90)</f>
        <v>0</v>
      </c>
    </row>
    <row r="92" spans="1:4" collapsed="1">
      <c r="A92" s="22"/>
      <c r="B92" s="41" t="s">
        <v>17</v>
      </c>
      <c r="C92" s="42"/>
      <c r="D92" s="44">
        <f ca="1">SUM(OSRRefE18_1x_0)</f>
        <v>22754566.473435</v>
      </c>
    </row>
    <row r="93" spans="1:4" hidden="1" outlineLevel="2">
      <c r="A93" s="22"/>
      <c r="B93" s="28">
        <v>6017</v>
      </c>
      <c r="C93" s="29" t="s">
        <v>141</v>
      </c>
      <c r="D93" s="30">
        <f>N(112618.16)</f>
        <v>112618.16</v>
      </c>
    </row>
    <row r="94" spans="1:4" hidden="1" outlineLevel="1">
      <c r="A94" s="22"/>
      <c r="B94" s="35" t="str">
        <f>"    "&amp;"Av- og nedskrivning"</f>
        <v xml:space="preserve">    Av- og nedskrivning</v>
      </c>
      <c r="C94" s="36"/>
      <c r="D94" s="33">
        <f>SUM(D93)</f>
        <v>112618.16</v>
      </c>
    </row>
    <row r="95" spans="1:4" hidden="1" outlineLevel="2">
      <c r="A95" s="22"/>
      <c r="B95" s="28">
        <v>6300</v>
      </c>
      <c r="C95" s="29" t="s">
        <v>142</v>
      </c>
      <c r="D95" s="30">
        <f>N(739706.34)</f>
        <v>739706.34</v>
      </c>
    </row>
    <row r="96" spans="1:4" hidden="1" outlineLevel="2">
      <c r="A96" s="22"/>
      <c r="B96" s="28">
        <v>6340</v>
      </c>
      <c r="C96" s="29" t="s">
        <v>143</v>
      </c>
      <c r="D96" s="30">
        <f>N(0)</f>
        <v>0</v>
      </c>
    </row>
    <row r="97" spans="1:4" hidden="1" outlineLevel="2">
      <c r="A97" s="22"/>
      <c r="B97" s="28">
        <v>6360</v>
      </c>
      <c r="C97" s="29" t="s">
        <v>144</v>
      </c>
      <c r="D97" s="30">
        <f>N(50393)</f>
        <v>50393</v>
      </c>
    </row>
    <row r="98" spans="1:4" hidden="1" outlineLevel="2">
      <c r="A98" s="22"/>
      <c r="B98" s="28">
        <v>6390</v>
      </c>
      <c r="C98" s="29" t="s">
        <v>145</v>
      </c>
      <c r="D98" s="30">
        <f>N(5103.45)</f>
        <v>5103.45</v>
      </c>
    </row>
    <row r="99" spans="1:4" hidden="1" outlineLevel="2">
      <c r="A99" s="22"/>
      <c r="B99" s="28">
        <v>6490</v>
      </c>
      <c r="C99" s="29" t="s">
        <v>146</v>
      </c>
      <c r="D99" s="30">
        <f>N(206500)</f>
        <v>206500</v>
      </c>
    </row>
    <row r="100" spans="1:4" hidden="1" outlineLevel="1">
      <c r="A100" s="22"/>
      <c r="B100" s="35" t="str">
        <f>"    "&amp;"Kostnad lokaler"</f>
        <v xml:space="preserve">    Kostnad lokaler</v>
      </c>
      <c r="C100" s="36"/>
      <c r="D100" s="33">
        <f>SUM(D95:D99)</f>
        <v>1001702.7899999999</v>
      </c>
    </row>
    <row r="101" spans="1:4" hidden="1" outlineLevel="2">
      <c r="A101" s="22"/>
      <c r="B101" s="28">
        <v>6405</v>
      </c>
      <c r="C101" s="29" t="s">
        <v>147</v>
      </c>
      <c r="D101" s="30">
        <f>N(397500)</f>
        <v>397500</v>
      </c>
    </row>
    <row r="102" spans="1:4" hidden="1" outlineLevel="2">
      <c r="A102" s="22"/>
      <c r="B102" s="28">
        <v>6410</v>
      </c>
      <c r="C102" s="29" t="s">
        <v>148</v>
      </c>
      <c r="D102" s="30">
        <f>N(15000)</f>
        <v>15000</v>
      </c>
    </row>
    <row r="103" spans="1:4" hidden="1" outlineLevel="2">
      <c r="A103" s="22"/>
      <c r="B103" s="28">
        <v>6420</v>
      </c>
      <c r="C103" s="29" t="s">
        <v>149</v>
      </c>
      <c r="D103" s="30">
        <f>N(1239944.67)</f>
        <v>1239944.67</v>
      </c>
    </row>
    <row r="104" spans="1:4" hidden="1" outlineLevel="2">
      <c r="A104" s="22"/>
      <c r="B104" s="28">
        <v>6421</v>
      </c>
      <c r="C104" s="29" t="s">
        <v>150</v>
      </c>
      <c r="D104" s="30">
        <f>N(617.62)</f>
        <v>617.62</v>
      </c>
    </row>
    <row r="105" spans="1:4" hidden="1" outlineLevel="2">
      <c r="A105" s="22"/>
      <c r="B105" s="28">
        <v>6430</v>
      </c>
      <c r="C105" s="29" t="s">
        <v>151</v>
      </c>
      <c r="D105" s="30">
        <f>N(17746.65)</f>
        <v>17746.650000000001</v>
      </c>
    </row>
    <row r="106" spans="1:4" hidden="1" outlineLevel="1">
      <c r="A106" s="22"/>
      <c r="B106" s="35" t="str">
        <f>"    "&amp;"Leie maskiner, inventar o.l."</f>
        <v xml:space="preserve">    Leie maskiner, inventar o.l.</v>
      </c>
      <c r="C106" s="36"/>
      <c r="D106" s="33">
        <f>SUM(D101:D105)</f>
        <v>1670808.94</v>
      </c>
    </row>
    <row r="107" spans="1:4" hidden="1" outlineLevel="2">
      <c r="A107" s="22"/>
      <c r="B107" s="28">
        <v>6540</v>
      </c>
      <c r="C107" s="29" t="s">
        <v>152</v>
      </c>
      <c r="D107" s="30">
        <f>N(2309.7)</f>
        <v>2309.6999999999998</v>
      </c>
    </row>
    <row r="108" spans="1:4" hidden="1" outlineLevel="2">
      <c r="A108" s="22"/>
      <c r="B108" s="28">
        <v>6550</v>
      </c>
      <c r="C108" s="29" t="s">
        <v>153</v>
      </c>
      <c r="D108" s="30">
        <f>N(73810.79)</f>
        <v>73810.789999999994</v>
      </c>
    </row>
    <row r="109" spans="1:4" hidden="1" outlineLevel="2">
      <c r="A109" s="22"/>
      <c r="B109" s="28">
        <v>6551</v>
      </c>
      <c r="C109" s="29" t="s">
        <v>154</v>
      </c>
      <c r="D109" s="30">
        <f>N(101027.88)</f>
        <v>101027.88</v>
      </c>
    </row>
    <row r="110" spans="1:4" hidden="1" outlineLevel="2">
      <c r="A110" s="22"/>
      <c r="B110" s="28">
        <v>6590</v>
      </c>
      <c r="C110" s="29" t="s">
        <v>155</v>
      </c>
      <c r="D110" s="30">
        <f>N(6640)</f>
        <v>6640</v>
      </c>
    </row>
    <row r="111" spans="1:4" hidden="1" outlineLevel="1">
      <c r="A111" s="22"/>
      <c r="B111" s="35" t="str">
        <f>"    "&amp;"Verktøy, inventar og driftsmateriell"</f>
        <v xml:space="preserve">    Verktøy, inventar og driftsmateriell</v>
      </c>
      <c r="C111" s="36"/>
      <c r="D111" s="33">
        <f>SUM(D107:D110)</f>
        <v>183788.37</v>
      </c>
    </row>
    <row r="112" spans="1:4" hidden="1" outlineLevel="2">
      <c r="A112" s="22"/>
      <c r="B112" s="28">
        <v>6701</v>
      </c>
      <c r="C112" s="29" t="s">
        <v>156</v>
      </c>
      <c r="D112" s="30">
        <f>N(246386.25)</f>
        <v>246386.25</v>
      </c>
    </row>
    <row r="113" spans="1:4" hidden="1" outlineLevel="2">
      <c r="A113" s="22"/>
      <c r="B113" s="28">
        <v>6705</v>
      </c>
      <c r="C113" s="29" t="s">
        <v>157</v>
      </c>
      <c r="D113" s="30">
        <f>N(959784)</f>
        <v>959784</v>
      </c>
    </row>
    <row r="114" spans="1:4" hidden="1" outlineLevel="2">
      <c r="A114" s="22"/>
      <c r="B114" s="28">
        <v>6790</v>
      </c>
      <c r="C114" s="29" t="s">
        <v>158</v>
      </c>
      <c r="D114" s="30">
        <f>N(772084.38)</f>
        <v>772084.38</v>
      </c>
    </row>
    <row r="115" spans="1:4" hidden="1" outlineLevel="2">
      <c r="A115" s="22"/>
      <c r="B115" s="28">
        <v>6792</v>
      </c>
      <c r="C115" s="29" t="s">
        <v>159</v>
      </c>
      <c r="D115" s="30">
        <f>N(210000)</f>
        <v>210000</v>
      </c>
    </row>
    <row r="116" spans="1:4" hidden="1" outlineLevel="1">
      <c r="A116" s="22"/>
      <c r="B116" s="35" t="str">
        <f>"    "&amp;"Fremmed tjeneste"</f>
        <v xml:space="preserve">    Fremmed tjeneste</v>
      </c>
      <c r="C116" s="36"/>
      <c r="D116" s="33">
        <f>SUM(D112:D115)</f>
        <v>2188254.63</v>
      </c>
    </row>
    <row r="117" spans="1:4" hidden="1" outlineLevel="2">
      <c r="A117" s="22"/>
      <c r="B117" s="28">
        <v>6800</v>
      </c>
      <c r="C117" s="29" t="s">
        <v>160</v>
      </c>
      <c r="D117" s="30">
        <f>N(22225.55)</f>
        <v>22225.55</v>
      </c>
    </row>
    <row r="118" spans="1:4" hidden="1" outlineLevel="2">
      <c r="A118" s="22"/>
      <c r="B118" s="28">
        <v>6820</v>
      </c>
      <c r="C118" s="29" t="s">
        <v>161</v>
      </c>
      <c r="D118" s="30">
        <f>N(115872.5)</f>
        <v>115872.5</v>
      </c>
    </row>
    <row r="119" spans="1:4" hidden="1" outlineLevel="2">
      <c r="A119" s="22"/>
      <c r="B119" s="28">
        <v>6840</v>
      </c>
      <c r="C119" s="29" t="s">
        <v>162</v>
      </c>
      <c r="D119" s="30">
        <f>N(57744.22)</f>
        <v>57744.22</v>
      </c>
    </row>
    <row r="120" spans="1:4" hidden="1" outlineLevel="2">
      <c r="A120" s="22"/>
      <c r="B120" s="28">
        <v>6842</v>
      </c>
      <c r="C120" s="29" t="s">
        <v>163</v>
      </c>
      <c r="D120" s="30">
        <f>N(2097)</f>
        <v>2097</v>
      </c>
    </row>
    <row r="121" spans="1:4" hidden="1" outlineLevel="2">
      <c r="A121" s="22"/>
      <c r="B121" s="28">
        <v>6860</v>
      </c>
      <c r="C121" s="29" t="s">
        <v>164</v>
      </c>
      <c r="D121" s="30">
        <f>N(998868.07)</f>
        <v>998868.07</v>
      </c>
    </row>
    <row r="122" spans="1:4" hidden="1" outlineLevel="2">
      <c r="A122" s="22"/>
      <c r="B122" s="28">
        <v>6870</v>
      </c>
      <c r="C122" s="29" t="s">
        <v>165</v>
      </c>
      <c r="D122" s="30">
        <f>N(23542.99)</f>
        <v>23542.99</v>
      </c>
    </row>
    <row r="123" spans="1:4" hidden="1" outlineLevel="2">
      <c r="A123" s="22"/>
      <c r="B123" s="28">
        <v>6890</v>
      </c>
      <c r="C123" s="29" t="s">
        <v>166</v>
      </c>
      <c r="D123" s="30">
        <f>N(14930.19)</f>
        <v>14930.19</v>
      </c>
    </row>
    <row r="124" spans="1:4" hidden="1" outlineLevel="1">
      <c r="A124" s="22"/>
      <c r="B124" s="35" t="str">
        <f>"    "&amp;"Kontor, oppdatering o.l."</f>
        <v xml:space="preserve">    Kontor, oppdatering o.l.</v>
      </c>
      <c r="C124" s="36"/>
      <c r="D124" s="33">
        <f>SUM(D117:D123)</f>
        <v>1235280.5199999998</v>
      </c>
    </row>
    <row r="125" spans="1:4" hidden="1" outlineLevel="2">
      <c r="A125" s="22"/>
      <c r="B125" s="28">
        <v>6900</v>
      </c>
      <c r="C125" s="29" t="s">
        <v>167</v>
      </c>
      <c r="D125" s="30">
        <f>N(82135.87)</f>
        <v>82135.87</v>
      </c>
    </row>
    <row r="126" spans="1:4" hidden="1" outlineLevel="2">
      <c r="A126" s="22"/>
      <c r="B126" s="28">
        <v>6901</v>
      </c>
      <c r="C126" s="29" t="s">
        <v>168</v>
      </c>
      <c r="D126" s="30">
        <f>N(200.85)</f>
        <v>200.85</v>
      </c>
    </row>
    <row r="127" spans="1:4" hidden="1" outlineLevel="2">
      <c r="A127" s="22"/>
      <c r="B127" s="28">
        <v>6902</v>
      </c>
      <c r="C127" s="29" t="s">
        <v>169</v>
      </c>
      <c r="D127" s="30">
        <f>N(33003.5)</f>
        <v>33003.5</v>
      </c>
    </row>
    <row r="128" spans="1:4" hidden="1" outlineLevel="2">
      <c r="A128" s="22"/>
      <c r="B128" s="28">
        <v>6905</v>
      </c>
      <c r="C128" s="29" t="s">
        <v>170</v>
      </c>
      <c r="D128" s="30">
        <f>N(51098.18)</f>
        <v>51098.18</v>
      </c>
    </row>
    <row r="129" spans="1:4" hidden="1" outlineLevel="2">
      <c r="A129" s="22"/>
      <c r="B129" s="28">
        <v>6940</v>
      </c>
      <c r="C129" s="29" t="s">
        <v>171</v>
      </c>
      <c r="D129" s="30">
        <f>N(35804.36)</f>
        <v>35804.36</v>
      </c>
    </row>
    <row r="130" spans="1:4" hidden="1" outlineLevel="1">
      <c r="A130" s="22"/>
      <c r="B130" s="35" t="str">
        <f>"    "&amp;"Telefon og porto o.l."</f>
        <v xml:space="preserve">    Telefon og porto o.l.</v>
      </c>
      <c r="C130" s="36"/>
      <c r="D130" s="33">
        <f>SUM(D125:D129)</f>
        <v>202242.76</v>
      </c>
    </row>
    <row r="131" spans="1:4" hidden="1" outlineLevel="2">
      <c r="A131" s="22"/>
      <c r="B131" s="28">
        <v>7171</v>
      </c>
      <c r="C131" s="29" t="s">
        <v>172</v>
      </c>
      <c r="D131" s="30">
        <f>N(0)</f>
        <v>0</v>
      </c>
    </row>
    <row r="132" spans="1:4" hidden="1" outlineLevel="2">
      <c r="A132" s="22"/>
      <c r="B132" s="28">
        <v>7730</v>
      </c>
      <c r="C132" s="29" t="s">
        <v>173</v>
      </c>
      <c r="D132" s="30">
        <f>N(4567000)</f>
        <v>4567000</v>
      </c>
    </row>
    <row r="133" spans="1:4" hidden="1" outlineLevel="2">
      <c r="A133" s="22"/>
      <c r="B133" s="28">
        <v>7731</v>
      </c>
      <c r="C133" s="29" t="s">
        <v>174</v>
      </c>
      <c r="D133" s="30">
        <f>N(3180453)</f>
        <v>3180453</v>
      </c>
    </row>
    <row r="134" spans="1:4" hidden="1" outlineLevel="2">
      <c r="A134" s="22"/>
      <c r="B134" s="28">
        <v>7735</v>
      </c>
      <c r="C134" s="29" t="s">
        <v>175</v>
      </c>
      <c r="D134" s="30">
        <f>N(2472981)</f>
        <v>2472981</v>
      </c>
    </row>
    <row r="135" spans="1:4" hidden="1" outlineLevel="1">
      <c r="A135" s="22"/>
      <c r="B135" s="35" t="str">
        <f>"    "&amp;"Evangelisering og misjon"</f>
        <v xml:space="preserve">    Evangelisering og misjon</v>
      </c>
      <c r="C135" s="36"/>
      <c r="D135" s="33">
        <f>SUM(D131:D134)</f>
        <v>10220434</v>
      </c>
    </row>
    <row r="136" spans="1:4" hidden="1" outlineLevel="2">
      <c r="A136" s="22"/>
      <c r="B136" s="28">
        <v>7100</v>
      </c>
      <c r="C136" s="29" t="s">
        <v>176</v>
      </c>
      <c r="D136" s="30">
        <f>N(139381.5)</f>
        <v>139381.5</v>
      </c>
    </row>
    <row r="137" spans="1:4" hidden="1" outlineLevel="2">
      <c r="A137" s="22"/>
      <c r="B137" s="28">
        <v>7101</v>
      </c>
      <c r="C137" s="29" t="s">
        <v>177</v>
      </c>
      <c r="D137" s="30">
        <f>N(252259.35)</f>
        <v>252259.35</v>
      </c>
    </row>
    <row r="138" spans="1:4" hidden="1" outlineLevel="2">
      <c r="A138" s="22"/>
      <c r="B138" s="28">
        <v>7140</v>
      </c>
      <c r="C138" s="29" t="s">
        <v>178</v>
      </c>
      <c r="D138" s="30">
        <f>N(1912030.65)</f>
        <v>1912030.65</v>
      </c>
    </row>
    <row r="139" spans="1:4" hidden="1" outlineLevel="2">
      <c r="A139" s="22"/>
      <c r="B139" s="28">
        <v>7141</v>
      </c>
      <c r="C139" s="29" t="s">
        <v>179</v>
      </c>
      <c r="D139" s="30">
        <f>N(221095.88)</f>
        <v>221095.88</v>
      </c>
    </row>
    <row r="140" spans="1:4" hidden="1" outlineLevel="2">
      <c r="A140" s="22"/>
      <c r="B140" s="28">
        <v>7150</v>
      </c>
      <c r="C140" s="29" t="s">
        <v>180</v>
      </c>
      <c r="D140" s="30">
        <f>N(50817)</f>
        <v>50817</v>
      </c>
    </row>
    <row r="141" spans="1:4" hidden="1" outlineLevel="2">
      <c r="A141" s="22"/>
      <c r="B141" s="28">
        <v>7151</v>
      </c>
      <c r="C141" s="29" t="s">
        <v>181</v>
      </c>
      <c r="D141" s="30">
        <f>N(6461)</f>
        <v>6461</v>
      </c>
    </row>
    <row r="142" spans="1:4" hidden="1" outlineLevel="2">
      <c r="A142" s="22"/>
      <c r="B142" s="28">
        <v>7170</v>
      </c>
      <c r="C142" s="29" t="s">
        <v>182</v>
      </c>
      <c r="D142" s="30">
        <f>N(0)</f>
        <v>0</v>
      </c>
    </row>
    <row r="143" spans="1:4" hidden="1" outlineLevel="1">
      <c r="A143" s="22"/>
      <c r="B143" s="35" t="str">
        <f>"    "&amp;"Reise"</f>
        <v xml:space="preserve">    Reise</v>
      </c>
      <c r="C143" s="36"/>
      <c r="D143" s="33">
        <f>SUM(D136:D142)</f>
        <v>2582045.38</v>
      </c>
    </row>
    <row r="144" spans="1:4" hidden="1" outlineLevel="2">
      <c r="A144" s="22"/>
      <c r="B144" s="28">
        <v>7320</v>
      </c>
      <c r="C144" s="29" t="s">
        <v>183</v>
      </c>
      <c r="D144" s="30">
        <f>N(103106.25)</f>
        <v>103106.25</v>
      </c>
    </row>
    <row r="145" spans="1:4" hidden="1" outlineLevel="1">
      <c r="A145" s="22"/>
      <c r="B145" s="35" t="str">
        <f>"    "&amp;"Salgs-, reklame- og representasjonskostnader"</f>
        <v xml:space="preserve">    Salgs-, reklame- og representasjonskostnader</v>
      </c>
      <c r="C145" s="36"/>
      <c r="D145" s="33">
        <f>SUM(D144)</f>
        <v>103106.25</v>
      </c>
    </row>
    <row r="146" spans="1:4" hidden="1" outlineLevel="2">
      <c r="A146" s="22"/>
      <c r="B146" s="28">
        <v>7410</v>
      </c>
      <c r="C146" s="29" t="s">
        <v>185</v>
      </c>
      <c r="D146" s="30">
        <f>N(338193.04)</f>
        <v>338193.04</v>
      </c>
    </row>
    <row r="147" spans="1:4" hidden="1" outlineLevel="2">
      <c r="A147" s="22"/>
      <c r="B147" s="28">
        <v>7430</v>
      </c>
      <c r="C147" s="29" t="s">
        <v>186</v>
      </c>
      <c r="D147" s="30">
        <f>N(52000)</f>
        <v>52000</v>
      </c>
    </row>
    <row r="148" spans="1:4" hidden="1" outlineLevel="2">
      <c r="A148" s="22"/>
      <c r="B148" s="28">
        <v>7432</v>
      </c>
      <c r="C148" s="29" t="s">
        <v>187</v>
      </c>
      <c r="D148" s="30">
        <f>N(0)</f>
        <v>0</v>
      </c>
    </row>
    <row r="149" spans="1:4" hidden="1" outlineLevel="2">
      <c r="A149" s="22"/>
      <c r="B149" s="28">
        <v>7437</v>
      </c>
      <c r="C149" s="29" t="s">
        <v>188</v>
      </c>
      <c r="D149" s="30">
        <f>N(255000)</f>
        <v>255000</v>
      </c>
    </row>
    <row r="150" spans="1:4" hidden="1" outlineLevel="2">
      <c r="A150" s="22"/>
      <c r="B150" s="28">
        <v>7439</v>
      </c>
      <c r="C150" s="29" t="s">
        <v>189</v>
      </c>
      <c r="D150" s="30">
        <f>N(7625000)</f>
        <v>7625000</v>
      </c>
    </row>
    <row r="151" spans="1:4" hidden="1" outlineLevel="2">
      <c r="A151" s="22"/>
      <c r="B151" s="28">
        <v>7445</v>
      </c>
      <c r="C151" s="29" t="s">
        <v>191</v>
      </c>
      <c r="D151" s="30">
        <f>N(50000)</f>
        <v>50000</v>
      </c>
    </row>
    <row r="152" spans="1:4" hidden="1" outlineLevel="2">
      <c r="A152" s="22"/>
      <c r="B152" s="28">
        <v>7447</v>
      </c>
      <c r="C152" s="29" t="s">
        <v>192</v>
      </c>
      <c r="D152" s="30">
        <f>N(152928)</f>
        <v>152928</v>
      </c>
    </row>
    <row r="153" spans="1:4" hidden="1" outlineLevel="2">
      <c r="A153" s="22"/>
      <c r="B153" s="28">
        <v>7460</v>
      </c>
      <c r="C153" s="29" t="s">
        <v>194</v>
      </c>
      <c r="D153" s="30">
        <f>N(750000)</f>
        <v>750000</v>
      </c>
    </row>
    <row r="154" spans="1:4" hidden="1" outlineLevel="2">
      <c r="A154" s="22"/>
      <c r="B154" s="28">
        <v>7461</v>
      </c>
      <c r="C154" s="29" t="s">
        <v>195</v>
      </c>
      <c r="D154" s="30">
        <f>N(2499618.93)</f>
        <v>2499618.9300000002</v>
      </c>
    </row>
    <row r="155" spans="1:4" hidden="1" outlineLevel="1">
      <c r="A155" s="22"/>
      <c r="B155" s="35" t="str">
        <f>"    "&amp;"Kontingent og bevilgninger"</f>
        <v xml:space="preserve">    Kontingent og bevilgninger</v>
      </c>
      <c r="C155" s="36"/>
      <c r="D155" s="33">
        <f>SUM(D146:D154)</f>
        <v>11722739.969999999</v>
      </c>
    </row>
    <row r="156" spans="1:4" hidden="1" outlineLevel="2">
      <c r="A156" s="22"/>
      <c r="B156" s="28">
        <v>7500</v>
      </c>
      <c r="C156" s="29" t="s">
        <v>196</v>
      </c>
      <c r="D156" s="30">
        <f>N(48985.64)</f>
        <v>48985.64</v>
      </c>
    </row>
    <row r="157" spans="1:4" hidden="1" outlineLevel="2">
      <c r="A157" s="22"/>
      <c r="B157" s="28">
        <v>7510</v>
      </c>
      <c r="C157" s="29" t="s">
        <v>197</v>
      </c>
      <c r="D157" s="30">
        <f>N(41890.64)</f>
        <v>41890.639999999999</v>
      </c>
    </row>
    <row r="158" spans="1:4" hidden="1" outlineLevel="1">
      <c r="A158" s="22"/>
      <c r="B158" s="35" t="str">
        <f>"    "&amp;"Forsikringspremie, garanti- og servicekostnad"</f>
        <v xml:space="preserve">    Forsikringspremie, garanti- og servicekostnad</v>
      </c>
      <c r="C158" s="36"/>
      <c r="D158" s="33">
        <f>SUM(D156:D157)</f>
        <v>90876.28</v>
      </c>
    </row>
    <row r="159" spans="1:4" hidden="1" outlineLevel="2">
      <c r="A159" s="22"/>
      <c r="B159" s="28">
        <v>7700</v>
      </c>
      <c r="C159" s="29" t="s">
        <v>199</v>
      </c>
      <c r="D159" s="30">
        <f>N(804010.43)</f>
        <v>804010.43</v>
      </c>
    </row>
    <row r="160" spans="1:4" hidden="1" outlineLevel="2">
      <c r="A160" s="22"/>
      <c r="B160" s="28">
        <v>7710</v>
      </c>
      <c r="C160" s="29" t="s">
        <v>200</v>
      </c>
      <c r="D160" s="30">
        <f>N(1335000)</f>
        <v>1335000</v>
      </c>
    </row>
    <row r="161" spans="1:4" hidden="1" outlineLevel="2">
      <c r="A161" s="22"/>
      <c r="B161" s="28">
        <v>7720</v>
      </c>
      <c r="C161" s="29" t="s">
        <v>201</v>
      </c>
      <c r="D161" s="30">
        <f>N(2707908)</f>
        <v>2707908</v>
      </c>
    </row>
    <row r="162" spans="1:4" hidden="1" outlineLevel="2">
      <c r="A162" s="22"/>
      <c r="B162" s="28">
        <v>7770</v>
      </c>
      <c r="C162" s="29" t="s">
        <v>202</v>
      </c>
      <c r="D162" s="30">
        <f>N(76103.69)</f>
        <v>76103.69</v>
      </c>
    </row>
    <row r="163" spans="1:4" hidden="1" outlineLevel="2">
      <c r="A163" s="22"/>
      <c r="B163" s="28">
        <v>7771</v>
      </c>
      <c r="C163" s="29" t="s">
        <v>203</v>
      </c>
      <c r="D163" s="30">
        <f>N(83000)</f>
        <v>83000</v>
      </c>
    </row>
    <row r="164" spans="1:4" hidden="1" outlineLevel="2">
      <c r="A164" s="22"/>
      <c r="B164" s="28">
        <v>7790</v>
      </c>
      <c r="C164" s="29" t="s">
        <v>204</v>
      </c>
      <c r="D164" s="30">
        <f>N(136593.5)</f>
        <v>136593.5</v>
      </c>
    </row>
    <row r="165" spans="1:4" hidden="1" outlineLevel="2">
      <c r="A165" s="22"/>
      <c r="B165" s="28">
        <v>7791</v>
      </c>
      <c r="C165" s="29" t="s">
        <v>205</v>
      </c>
      <c r="D165" s="30">
        <f>N(0)</f>
        <v>0</v>
      </c>
    </row>
    <row r="166" spans="1:4" hidden="1" outlineLevel="2">
      <c r="A166" s="22"/>
      <c r="B166" s="28">
        <v>7792</v>
      </c>
      <c r="C166" s="29" t="s">
        <v>206</v>
      </c>
      <c r="D166" s="30">
        <f>N(42064.62)</f>
        <v>42064.62</v>
      </c>
    </row>
    <row r="167" spans="1:4" hidden="1" outlineLevel="1">
      <c r="A167" s="22"/>
      <c r="B167" s="35" t="str">
        <f>"    "&amp;"Annen kostnad"</f>
        <v xml:space="preserve">    Annen kostnad</v>
      </c>
      <c r="C167" s="36"/>
      <c r="D167" s="33">
        <f>SUM(D159:D166)</f>
        <v>5184680.24</v>
      </c>
    </row>
    <row r="168" spans="1:4" collapsed="1">
      <c r="A168" s="22"/>
      <c r="B168" s="41" t="s">
        <v>18</v>
      </c>
      <c r="C168" s="42"/>
      <c r="D168" s="44">
        <f ca="1">SUM(OSRRefE18_2x_0)</f>
        <v>36498578.289999999</v>
      </c>
    </row>
    <row r="169" spans="1:4">
      <c r="A169" s="22"/>
      <c r="B169" s="48" t="s">
        <v>19</v>
      </c>
      <c r="C169" s="49"/>
      <c r="D169" s="51">
        <f ca="1">SUM(OSRRefE19x_0)</f>
        <v>59641589.363435</v>
      </c>
    </row>
    <row r="170" spans="1:4" ht="9.75" customHeight="1">
      <c r="B170" s="57"/>
      <c r="C170" s="24"/>
    </row>
    <row r="171" spans="1:4" ht="15.6">
      <c r="B171" s="64" t="s">
        <v>209</v>
      </c>
      <c r="C171" s="65"/>
      <c r="D171" s="67">
        <f ca="1">SUM(D44)-SUM(D169)</f>
        <v>-9263114.3634350002</v>
      </c>
    </row>
    <row r="172" spans="1:4">
      <c r="B172" s="27"/>
      <c r="C172" s="24"/>
    </row>
    <row r="173" spans="1:4" hidden="1" outlineLevel="2">
      <c r="A173" s="22"/>
      <c r="B173" s="28">
        <v>8050</v>
      </c>
      <c r="C173" s="29" t="s">
        <v>210</v>
      </c>
      <c r="D173" s="30">
        <f>-N(0)</f>
        <v>0</v>
      </c>
    </row>
    <row r="174" spans="1:4" hidden="1" outlineLevel="2">
      <c r="A174" s="22"/>
      <c r="B174" s="28">
        <v>8060</v>
      </c>
      <c r="C174" s="29" t="s">
        <v>211</v>
      </c>
      <c r="D174" s="30">
        <f>-N(-7266.88)</f>
        <v>7266.88</v>
      </c>
    </row>
    <row r="175" spans="1:4" hidden="1" outlineLevel="2">
      <c r="A175" s="22"/>
      <c r="B175" s="28">
        <v>8071</v>
      </c>
      <c r="C175" s="29" t="s">
        <v>212</v>
      </c>
      <c r="D175" s="30">
        <f>-N(-174467)</f>
        <v>174467</v>
      </c>
    </row>
    <row r="176" spans="1:4" hidden="1" outlineLevel="2">
      <c r="A176" s="22"/>
      <c r="B176" s="28">
        <v>8078</v>
      </c>
      <c r="C176" s="29" t="s">
        <v>213</v>
      </c>
      <c r="D176" s="30">
        <f>-N(-530079.37)</f>
        <v>530079.37</v>
      </c>
    </row>
    <row r="177" spans="1:4" hidden="1" outlineLevel="2">
      <c r="A177" s="22"/>
      <c r="B177" s="28">
        <v>8910</v>
      </c>
      <c r="C177" s="29" t="s">
        <v>215</v>
      </c>
      <c r="D177" s="30">
        <f>-N(-7048858)</f>
        <v>7048858</v>
      </c>
    </row>
    <row r="178" spans="1:4" hidden="1" outlineLevel="1">
      <c r="A178" s="22"/>
      <c r="B178" s="35" t="str">
        <f>"    "&amp;"Finansinntekt"</f>
        <v xml:space="preserve">    Finansinntekt</v>
      </c>
      <c r="C178" s="36"/>
      <c r="D178" s="33">
        <f>SUM(D173:D177)</f>
        <v>7760671.25</v>
      </c>
    </row>
    <row r="179" spans="1:4" collapsed="1">
      <c r="A179" s="22"/>
      <c r="B179" s="41" t="s">
        <v>216</v>
      </c>
      <c r="C179" s="42"/>
      <c r="D179" s="44">
        <f>SUM(D178)</f>
        <v>7760671.25</v>
      </c>
    </row>
    <row r="180" spans="1:4" hidden="1" outlineLevel="2">
      <c r="A180" s="22"/>
      <c r="B180" s="28">
        <v>2911</v>
      </c>
      <c r="C180" s="29" t="s">
        <v>217</v>
      </c>
      <c r="D180" s="30">
        <f>N(0)</f>
        <v>0</v>
      </c>
    </row>
    <row r="181" spans="1:4" hidden="1" outlineLevel="1">
      <c r="A181" s="22"/>
      <c r="B181" s="35" t="str">
        <f>"    "&amp;" "</f>
        <v xml:space="preserve">     </v>
      </c>
      <c r="C181" s="36"/>
      <c r="D181" s="33">
        <f>SUM(D180)</f>
        <v>0</v>
      </c>
    </row>
    <row r="182" spans="1:4" hidden="1" outlineLevel="2">
      <c r="A182" s="22"/>
      <c r="B182" s="28">
        <v>8150</v>
      </c>
      <c r="C182" s="29" t="s">
        <v>221</v>
      </c>
      <c r="D182" s="30">
        <f>N(0.03)</f>
        <v>0.03</v>
      </c>
    </row>
    <row r="183" spans="1:4" hidden="1" outlineLevel="2">
      <c r="A183" s="22"/>
      <c r="B183" s="28">
        <v>8155</v>
      </c>
      <c r="C183" s="29" t="s">
        <v>222</v>
      </c>
      <c r="D183" s="30">
        <f>N(0)</f>
        <v>0</v>
      </c>
    </row>
    <row r="184" spans="1:4" hidden="1" outlineLevel="2">
      <c r="A184" s="22"/>
      <c r="B184" s="28">
        <v>8160</v>
      </c>
      <c r="C184" s="29" t="s">
        <v>223</v>
      </c>
      <c r="D184" s="30">
        <f>N(25842.66)</f>
        <v>25842.66</v>
      </c>
    </row>
    <row r="185" spans="1:4" hidden="1" outlineLevel="2">
      <c r="A185" s="22"/>
      <c r="B185" s="28">
        <v>8170</v>
      </c>
      <c r="C185" s="29" t="s">
        <v>224</v>
      </c>
      <c r="D185" s="30">
        <f>N(0.04)</f>
        <v>0.04</v>
      </c>
    </row>
    <row r="186" spans="1:4" hidden="1" outlineLevel="1">
      <c r="A186" s="22"/>
      <c r="B186" s="35" t="str">
        <f>"    "&amp;"Finanskostnad"</f>
        <v xml:space="preserve">    Finanskostnad</v>
      </c>
      <c r="C186" s="36"/>
      <c r="D186" s="33">
        <f>SUM(D182:D185)</f>
        <v>25842.73</v>
      </c>
    </row>
    <row r="187" spans="1:4" collapsed="1">
      <c r="A187" s="22"/>
      <c r="B187" s="41" t="s">
        <v>225</v>
      </c>
      <c r="C187" s="42"/>
      <c r="D187" s="44">
        <f>SUM(D181,D186)</f>
        <v>25842.73</v>
      </c>
    </row>
    <row r="188" spans="1:4">
      <c r="A188" s="22"/>
      <c r="B188" s="48" t="s">
        <v>226</v>
      </c>
      <c r="C188" s="49"/>
      <c r="D188" s="51">
        <f>SUM(D179)-SUM(D187)</f>
        <v>7734828.5199999996</v>
      </c>
    </row>
    <row r="189" spans="1:4">
      <c r="A189" s="22"/>
      <c r="B189" s="27"/>
      <c r="C189" s="24"/>
      <c r="D189" s="76"/>
    </row>
    <row r="190" spans="1:4" ht="15.6">
      <c r="B190" s="77" t="s">
        <v>227</v>
      </c>
      <c r="C190" s="78"/>
      <c r="D190" s="80">
        <f ca="1">IFERROR(SUM(D171)+SUM(D188),0)</f>
        <v>-1528285.8434350006</v>
      </c>
    </row>
    <row r="191" spans="1:4" ht="15.6">
      <c r="B191" s="85"/>
      <c r="C191" s="86"/>
      <c r="D191" s="87"/>
    </row>
    <row r="192" spans="1:4" hidden="1" outlineLevel="2">
      <c r="A192" s="22"/>
      <c r="B192" s="28">
        <v>8914</v>
      </c>
      <c r="C192" s="29" t="s">
        <v>228</v>
      </c>
      <c r="D192" s="30">
        <f>N(0)</f>
        <v>0</v>
      </c>
    </row>
    <row r="193" spans="1:4" hidden="1" outlineLevel="1">
      <c r="A193" s="22"/>
      <c r="B193" s="35" t="str">
        <f>"    "&amp;"Overføringer og disponeringer"</f>
        <v xml:space="preserve">    Overføringer og disponeringer</v>
      </c>
      <c r="C193" s="36"/>
      <c r="D193" s="33">
        <f>SUM(D192)</f>
        <v>0</v>
      </c>
    </row>
    <row r="194" spans="1:4" collapsed="1">
      <c r="A194" s="22"/>
      <c r="B194" s="89" t="s">
        <v>233</v>
      </c>
      <c r="C194" s="90"/>
      <c r="D194" s="92">
        <f>SUM(D193)</f>
        <v>0</v>
      </c>
    </row>
    <row r="196" spans="1:4">
      <c r="C196" s="97"/>
    </row>
  </sheetData>
  <conditionalFormatting sqref="B5:B7">
    <cfRule type="expression" dxfId="2" priority="1">
      <formula>LEFT(B5,1)="x"</formula>
    </cfRule>
  </conditionalFormatting>
  <conditionalFormatting sqref="C5:C7">
    <cfRule type="expression" dxfId="1" priority="2">
      <formula>LEFT(B5,1)="x"</formula>
    </cfRule>
  </conditionalFormatting>
  <conditionalFormatting sqref="D5:D7">
    <cfRule type="expression" dxfId="0" priority="3">
      <formula>LEFT(#REF!,1)="x"</formula>
    </cfRule>
  </conditionalFormatting>
  <pageMargins left="0.23622047244094491" right="0.23622047244094491" top="0.35433070866141736" bottom="0.35433070866141736" header="0.31496062992125984" footer="0.31496062992125984"/>
  <pageSetup paperSize="9" scale="72" fitToHeight="0" orientation="landscape"/>
  <headerFooter>
    <oddFooter>&amp;C&amp;G&amp;R
Side &amp;P av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4C7FA-2E3A-4B96-BD6E-011D0755D4AD}">
  <sheetPr>
    <outlinePr summaryBelow="0"/>
    <pageSetUpPr fitToPage="1"/>
  </sheetPr>
  <dimension ref="A1:H106"/>
  <sheetViews>
    <sheetView showGridLines="0" workbookViewId="0">
      <pane ySplit="5" topLeftCell="A6" activePane="bottomLeft" state="frozen"/>
      <selection pane="bottomLeft" activeCell="F5" sqref="F5"/>
    </sheetView>
  </sheetViews>
  <sheetFormatPr defaultColWidth="11.42578125" defaultRowHeight="14.45" outlineLevelRow="2"/>
  <cols>
    <col min="1" max="1" width="1.7109375" customWidth="1"/>
    <col min="2" max="2" width="16.28515625" customWidth="1"/>
    <col min="3" max="3" width="33.5703125" customWidth="1"/>
    <col min="4" max="4" width="5.5703125" hidden="1" customWidth="1"/>
    <col min="5" max="5" width="12.7109375" hidden="1" customWidth="1"/>
    <col min="6" max="8" width="15.7109375" customWidth="1"/>
  </cols>
  <sheetData>
    <row r="1" spans="1:8" ht="9.9499999999999993" customHeight="1">
      <c r="H1" s="6" t="s">
        <v>314</v>
      </c>
    </row>
    <row r="2" spans="1:8" ht="18">
      <c r="A2" s="7"/>
      <c r="B2" s="8" t="s">
        <v>337</v>
      </c>
      <c r="C2" s="7"/>
      <c r="D2" s="7"/>
      <c r="E2" s="7"/>
      <c r="F2" s="7"/>
      <c r="G2" s="7"/>
      <c r="H2" s="9">
        <v>45322.641759259262</v>
      </c>
    </row>
    <row r="3" spans="1:8" ht="15.6">
      <c r="B3" s="101" t="s">
        <v>316</v>
      </c>
    </row>
    <row r="4" spans="1:8" ht="11.25" customHeight="1">
      <c r="C4" s="102"/>
      <c r="D4" s="102"/>
      <c r="E4" s="102"/>
      <c r="F4" s="102"/>
      <c r="G4" s="102"/>
      <c r="H4" s="102"/>
    </row>
    <row r="5" spans="1:8" ht="28.9">
      <c r="B5" s="103" t="str">
        <f>"Periode: "&amp;"202101"&amp;":"&amp;"202112"</f>
        <v>Periode: 202101:202112</v>
      </c>
      <c r="C5" s="104"/>
      <c r="D5" s="104"/>
      <c r="E5" s="104"/>
      <c r="F5" s="105" t="s">
        <v>338</v>
      </c>
      <c r="G5" s="105" t="s">
        <v>339</v>
      </c>
      <c r="H5" s="106" t="s">
        <v>235</v>
      </c>
    </row>
    <row r="6" spans="1:8" ht="11.25" customHeight="1">
      <c r="B6" s="25"/>
      <c r="C6" s="26"/>
      <c r="D6" s="26"/>
      <c r="E6" s="26"/>
      <c r="F6" s="26"/>
      <c r="G6" s="26"/>
      <c r="H6" s="107"/>
    </row>
    <row r="7" spans="1:8">
      <c r="B7" s="23" t="s">
        <v>236</v>
      </c>
      <c r="H7" s="24"/>
    </row>
    <row r="8" spans="1:8" ht="11.25" customHeight="1">
      <c r="B8" s="27"/>
      <c r="H8" s="24"/>
    </row>
    <row r="9" spans="1:8" collapsed="1">
      <c r="B9" s="57" t="s">
        <v>36</v>
      </c>
      <c r="F9" s="108"/>
      <c r="G9" s="108"/>
      <c r="H9" s="109"/>
    </row>
    <row r="10" spans="1:8" hidden="1" outlineLevel="1">
      <c r="B10" s="110" t="str">
        <f>"    "&amp;"Transportmidler, inventar, maskiner o.l."</f>
        <v xml:space="preserve">    Transportmidler, inventar, maskiner o.l.</v>
      </c>
      <c r="F10" s="76">
        <f>IFERROR(SUM(F11),0)</f>
        <v>306920.42</v>
      </c>
      <c r="G10" s="76">
        <f>IFERROR(SUM(G11)," ")</f>
        <v>-51044.83</v>
      </c>
      <c r="H10" s="111">
        <f t="shared" ref="H10:H15" si="0">IFERROR(F10+G10,0)</f>
        <v>255875.58999999997</v>
      </c>
    </row>
    <row r="11" spans="1:8" hidden="1" outlineLevel="2">
      <c r="B11" s="112">
        <v>1250</v>
      </c>
      <c r="C11" s="113" t="s">
        <v>152</v>
      </c>
      <c r="D11" s="113">
        <v>306920.42</v>
      </c>
      <c r="E11" s="113"/>
      <c r="F11" s="114">
        <f>IFERROR(D11+E11,"")</f>
        <v>306920.42</v>
      </c>
      <c r="G11" s="114">
        <v>-51044.83</v>
      </c>
      <c r="H11" s="115">
        <f t="shared" si="0"/>
        <v>255875.58999999997</v>
      </c>
    </row>
    <row r="12" spans="1:8" hidden="1" outlineLevel="1">
      <c r="B12" s="110" t="str">
        <f>"    "&amp;"Finansielle anleggsmidler"</f>
        <v xml:space="preserve">    Finansielle anleggsmidler</v>
      </c>
      <c r="F12" s="76">
        <f>IFERROR(SUM(F13:F15),0)</f>
        <v>5671215</v>
      </c>
      <c r="G12" s="76">
        <f>IFERROR(SUM(G13:G15)," ")</f>
        <v>0</v>
      </c>
      <c r="H12" s="111">
        <f t="shared" si="0"/>
        <v>5671215</v>
      </c>
    </row>
    <row r="13" spans="1:8" hidden="1" outlineLevel="2">
      <c r="B13" s="112">
        <v>1341</v>
      </c>
      <c r="C13" s="113" t="s">
        <v>237</v>
      </c>
      <c r="D13" s="113">
        <v>5000000</v>
      </c>
      <c r="E13" s="113"/>
      <c r="F13" s="114">
        <f>IFERROR(D13+E13,"")</f>
        <v>5000000</v>
      </c>
      <c r="G13" s="114"/>
      <c r="H13" s="115">
        <f t="shared" si="0"/>
        <v>5000000</v>
      </c>
    </row>
    <row r="14" spans="1:8" hidden="1" outlineLevel="2">
      <c r="B14" s="112">
        <v>1352</v>
      </c>
      <c r="C14" s="113" t="s">
        <v>238</v>
      </c>
      <c r="D14" s="113">
        <v>667215</v>
      </c>
      <c r="E14" s="113"/>
      <c r="F14" s="114">
        <f>IFERROR(D14+E14,"")</f>
        <v>667215</v>
      </c>
      <c r="G14" s="114"/>
      <c r="H14" s="115">
        <f t="shared" si="0"/>
        <v>667215</v>
      </c>
    </row>
    <row r="15" spans="1:8" hidden="1" outlineLevel="2">
      <c r="B15" s="112">
        <v>1353</v>
      </c>
      <c r="C15" s="113" t="s">
        <v>239</v>
      </c>
      <c r="D15" s="113">
        <v>4000</v>
      </c>
      <c r="E15" s="113"/>
      <c r="F15" s="114">
        <f>IFERROR(D15+E15,"")</f>
        <v>4000</v>
      </c>
      <c r="G15" s="114"/>
      <c r="H15" s="115">
        <f t="shared" si="0"/>
        <v>4000</v>
      </c>
    </row>
    <row r="16" spans="1:8">
      <c r="B16" s="48" t="str">
        <f>"Sum " &amp; LOWER("Anleggsmidler")</f>
        <v>Sum anleggsmidler</v>
      </c>
      <c r="C16" s="49"/>
      <c r="D16" s="49"/>
      <c r="E16" s="49"/>
      <c r="F16" s="51">
        <f>SUM(F10,F12)</f>
        <v>5978135.4199999999</v>
      </c>
      <c r="G16" s="51">
        <f>SUM(G10,G12)</f>
        <v>-51044.83</v>
      </c>
      <c r="H16" s="116">
        <f>SUM(H10,H12)</f>
        <v>5927090.5899999999</v>
      </c>
    </row>
    <row r="17" spans="2:8" ht="9.75" customHeight="1">
      <c r="B17" s="23"/>
      <c r="C17" s="1"/>
      <c r="D17" s="1"/>
      <c r="E17" s="1"/>
      <c r="F17" s="108"/>
      <c r="G17" s="108"/>
      <c r="H17" s="109"/>
    </row>
    <row r="18" spans="2:8" collapsed="1">
      <c r="B18" s="57" t="s">
        <v>38</v>
      </c>
      <c r="F18" s="108"/>
      <c r="G18" s="108"/>
      <c r="H18" s="109"/>
    </row>
    <row r="19" spans="2:8" hidden="1" outlineLevel="1">
      <c r="B19" s="110" t="str">
        <f>"    "&amp;"Kortsiktige fordringer"</f>
        <v xml:space="preserve">    Kortsiktige fordringer</v>
      </c>
      <c r="F19" s="76">
        <f>IFERROR(SUM(F20:F28),0)</f>
        <v>749345.04</v>
      </c>
      <c r="G19" s="76">
        <f>IFERROR(SUM(G20:G28)," ")</f>
        <v>-468041.85000000009</v>
      </c>
      <c r="H19" s="111">
        <f t="shared" ref="H19:H58" si="1">IFERROR(F19+G19,0)</f>
        <v>281303.18999999994</v>
      </c>
    </row>
    <row r="20" spans="2:8" hidden="1" outlineLevel="2">
      <c r="B20" s="112">
        <v>1500</v>
      </c>
      <c r="C20" s="113" t="s">
        <v>242</v>
      </c>
      <c r="D20" s="113">
        <v>219079.62</v>
      </c>
      <c r="E20" s="113"/>
      <c r="F20" s="114">
        <f t="shared" ref="F20:F28" si="2">IFERROR(D20+E20,"")</f>
        <v>219079.62</v>
      </c>
      <c r="G20" s="114">
        <v>-97109.62</v>
      </c>
      <c r="H20" s="115">
        <f t="shared" si="1"/>
        <v>121970</v>
      </c>
    </row>
    <row r="21" spans="2:8" hidden="1" outlineLevel="2">
      <c r="B21" s="112">
        <v>1505</v>
      </c>
      <c r="C21" s="113" t="s">
        <v>243</v>
      </c>
      <c r="D21" s="113">
        <v>356610.79</v>
      </c>
      <c r="E21" s="113"/>
      <c r="F21" s="114">
        <f t="shared" si="2"/>
        <v>356610.79</v>
      </c>
      <c r="G21" s="114">
        <v>-356610.79</v>
      </c>
      <c r="H21" s="115">
        <f t="shared" si="1"/>
        <v>0</v>
      </c>
    </row>
    <row r="22" spans="2:8" hidden="1" outlineLevel="2">
      <c r="B22" s="112">
        <v>1506</v>
      </c>
      <c r="C22" s="113" t="s">
        <v>244</v>
      </c>
      <c r="D22" s="113">
        <v>272035.08</v>
      </c>
      <c r="E22" s="113"/>
      <c r="F22" s="114">
        <f t="shared" si="2"/>
        <v>272035.08</v>
      </c>
      <c r="G22" s="114">
        <v>-257341.73</v>
      </c>
      <c r="H22" s="115">
        <f t="shared" si="1"/>
        <v>14693.350000000006</v>
      </c>
    </row>
    <row r="23" spans="2:8" hidden="1" outlineLevel="2">
      <c r="B23" s="112">
        <v>1576</v>
      </c>
      <c r="C23" s="113" t="s">
        <v>250</v>
      </c>
      <c r="D23" s="113"/>
      <c r="E23" s="113"/>
      <c r="F23" s="114">
        <f t="shared" si="2"/>
        <v>0</v>
      </c>
      <c r="G23" s="114">
        <v>0</v>
      </c>
      <c r="H23" s="115">
        <f t="shared" si="1"/>
        <v>0</v>
      </c>
    </row>
    <row r="24" spans="2:8" hidden="1" outlineLevel="2">
      <c r="B24" s="112">
        <v>1577</v>
      </c>
      <c r="C24" s="113" t="s">
        <v>251</v>
      </c>
      <c r="D24" s="113">
        <v>390.28</v>
      </c>
      <c r="E24" s="113"/>
      <c r="F24" s="114">
        <f t="shared" si="2"/>
        <v>390.28</v>
      </c>
      <c r="G24" s="114">
        <v>-1084.27</v>
      </c>
      <c r="H24" s="115">
        <f t="shared" si="1"/>
        <v>-693.99</v>
      </c>
    </row>
    <row r="25" spans="2:8" hidden="1" outlineLevel="2">
      <c r="B25" s="112">
        <v>1578</v>
      </c>
      <c r="C25" s="113" t="s">
        <v>252</v>
      </c>
      <c r="D25" s="113"/>
      <c r="E25" s="113"/>
      <c r="F25" s="114">
        <f t="shared" si="2"/>
        <v>0</v>
      </c>
      <c r="G25" s="114">
        <v>122432.35</v>
      </c>
      <c r="H25" s="115">
        <f t="shared" si="1"/>
        <v>122432.35</v>
      </c>
    </row>
    <row r="26" spans="2:8" hidden="1" outlineLevel="2">
      <c r="B26" s="112">
        <v>1579</v>
      </c>
      <c r="C26" s="113" t="s">
        <v>253</v>
      </c>
      <c r="D26" s="113">
        <v>96691</v>
      </c>
      <c r="E26" s="113"/>
      <c r="F26" s="114">
        <f t="shared" si="2"/>
        <v>96691</v>
      </c>
      <c r="G26" s="114">
        <v>-96691</v>
      </c>
      <c r="H26" s="115">
        <f t="shared" si="1"/>
        <v>0</v>
      </c>
    </row>
    <row r="27" spans="2:8" hidden="1" outlineLevel="2">
      <c r="B27" s="112">
        <v>1580</v>
      </c>
      <c r="C27" s="113" t="s">
        <v>208</v>
      </c>
      <c r="D27" s="113">
        <v>-195461.73</v>
      </c>
      <c r="E27" s="113"/>
      <c r="F27" s="114">
        <f t="shared" si="2"/>
        <v>-195461.73</v>
      </c>
      <c r="G27" s="114">
        <v>195461.73</v>
      </c>
      <c r="H27" s="115">
        <f t="shared" si="1"/>
        <v>0</v>
      </c>
    </row>
    <row r="28" spans="2:8" hidden="1" outlineLevel="2">
      <c r="B28" s="112">
        <v>2998</v>
      </c>
      <c r="C28" s="113" t="s">
        <v>254</v>
      </c>
      <c r="D28" s="113"/>
      <c r="E28" s="113"/>
      <c r="F28" s="114">
        <f t="shared" si="2"/>
        <v>0</v>
      </c>
      <c r="G28" s="114">
        <v>22901.48</v>
      </c>
      <c r="H28" s="115">
        <f t="shared" si="1"/>
        <v>22901.48</v>
      </c>
    </row>
    <row r="29" spans="2:8" hidden="1" outlineLevel="1">
      <c r="B29" s="110" t="str">
        <f>"    "&amp;"Forskuddsbetalt kostnad, påløpt inntekt o.l."</f>
        <v xml:space="preserve">    Forskuddsbetalt kostnad, påløpt inntekt o.l.</v>
      </c>
      <c r="F29" s="76">
        <f>IFERROR(SUM(F30:F36),0)</f>
        <v>541582.75</v>
      </c>
      <c r="G29" s="76">
        <f>IFERROR(SUM(G30:G36)," ")</f>
        <v>-476913.76</v>
      </c>
      <c r="H29" s="111">
        <f t="shared" si="1"/>
        <v>64668.989999999991</v>
      </c>
    </row>
    <row r="30" spans="2:8" hidden="1" outlineLevel="2">
      <c r="B30" s="112">
        <v>1740</v>
      </c>
      <c r="C30" s="113" t="s">
        <v>255</v>
      </c>
      <c r="D30" s="113">
        <v>15262.5</v>
      </c>
      <c r="E30" s="113"/>
      <c r="F30" s="114">
        <f t="shared" ref="F30:F36" si="3">IFERROR(D30+E30,"")</f>
        <v>15262.5</v>
      </c>
      <c r="G30" s="114">
        <v>-15262.5</v>
      </c>
      <c r="H30" s="115">
        <f t="shared" si="1"/>
        <v>0</v>
      </c>
    </row>
    <row r="31" spans="2:8" hidden="1" outlineLevel="2">
      <c r="B31" s="112">
        <v>1742</v>
      </c>
      <c r="C31" s="113" t="s">
        <v>256</v>
      </c>
      <c r="D31" s="113">
        <v>510692.25</v>
      </c>
      <c r="E31" s="113"/>
      <c r="F31" s="114">
        <f t="shared" si="3"/>
        <v>510692.25</v>
      </c>
      <c r="G31" s="114">
        <v>-510692.25</v>
      </c>
      <c r="H31" s="115">
        <f t="shared" si="1"/>
        <v>0</v>
      </c>
    </row>
    <row r="32" spans="2:8" hidden="1" outlineLevel="2">
      <c r="B32" s="112">
        <v>1749</v>
      </c>
      <c r="C32" s="113" t="s">
        <v>257</v>
      </c>
      <c r="D32" s="113"/>
      <c r="E32" s="113"/>
      <c r="F32" s="114">
        <f t="shared" si="3"/>
        <v>0</v>
      </c>
      <c r="G32" s="114">
        <v>46668.99</v>
      </c>
      <c r="H32" s="115">
        <f t="shared" si="1"/>
        <v>46668.99</v>
      </c>
    </row>
    <row r="33" spans="2:8" hidden="1" outlineLevel="2">
      <c r="B33" s="112">
        <v>1751</v>
      </c>
      <c r="C33" s="113" t="s">
        <v>258</v>
      </c>
      <c r="D33" s="113"/>
      <c r="E33" s="113"/>
      <c r="F33" s="114">
        <f t="shared" si="3"/>
        <v>0</v>
      </c>
      <c r="G33" s="114">
        <v>0</v>
      </c>
      <c r="H33" s="115">
        <f t="shared" si="1"/>
        <v>0</v>
      </c>
    </row>
    <row r="34" spans="2:8" hidden="1" outlineLevel="2">
      <c r="B34" s="112">
        <v>1790</v>
      </c>
      <c r="C34" s="113" t="s">
        <v>259</v>
      </c>
      <c r="D34" s="113">
        <v>6828</v>
      </c>
      <c r="E34" s="113"/>
      <c r="F34" s="114">
        <f t="shared" si="3"/>
        <v>6828</v>
      </c>
      <c r="G34" s="114">
        <v>11172</v>
      </c>
      <c r="H34" s="115">
        <f t="shared" si="1"/>
        <v>18000</v>
      </c>
    </row>
    <row r="35" spans="2:8" hidden="1" outlineLevel="2">
      <c r="B35" s="112">
        <v>1791</v>
      </c>
      <c r="C35" s="113" t="s">
        <v>260</v>
      </c>
      <c r="D35" s="113">
        <v>8800</v>
      </c>
      <c r="E35" s="113"/>
      <c r="F35" s="114">
        <f t="shared" si="3"/>
        <v>8800</v>
      </c>
      <c r="G35" s="114">
        <v>-8800</v>
      </c>
      <c r="H35" s="115">
        <f t="shared" si="1"/>
        <v>0</v>
      </c>
    </row>
    <row r="36" spans="2:8" hidden="1" outlineLevel="2">
      <c r="B36" s="112">
        <v>1799</v>
      </c>
      <c r="C36" s="113" t="s">
        <v>261</v>
      </c>
      <c r="D36" s="113"/>
      <c r="E36" s="113"/>
      <c r="F36" s="114">
        <f t="shared" si="3"/>
        <v>0</v>
      </c>
      <c r="G36" s="114">
        <v>0</v>
      </c>
      <c r="H36" s="115">
        <f t="shared" si="1"/>
        <v>0</v>
      </c>
    </row>
    <row r="37" spans="2:8" hidden="1" outlineLevel="1">
      <c r="B37" s="110" t="str">
        <f>"    "&amp;"Kortsiktige finansinvesteringer"</f>
        <v xml:space="preserve">    Kortsiktige finansinvesteringer</v>
      </c>
      <c r="F37" s="76">
        <f>IFERROR(SUM(F38),0)</f>
        <v>39149196.43</v>
      </c>
      <c r="G37" s="76">
        <f>IFERROR(SUM(G38)," ")</f>
        <v>54768.44</v>
      </c>
      <c r="H37" s="111">
        <f t="shared" si="1"/>
        <v>39203964.869999997</v>
      </c>
    </row>
    <row r="38" spans="2:8" hidden="1" outlineLevel="2">
      <c r="B38" s="112">
        <v>1830</v>
      </c>
      <c r="C38" s="113" t="s">
        <v>262</v>
      </c>
      <c r="D38" s="113">
        <v>39149196.43</v>
      </c>
      <c r="E38" s="113"/>
      <c r="F38" s="114">
        <f>IFERROR(D38+E38,"")</f>
        <v>39149196.43</v>
      </c>
      <c r="G38" s="114">
        <v>54768.44</v>
      </c>
      <c r="H38" s="115">
        <f t="shared" si="1"/>
        <v>39203964.869999997</v>
      </c>
    </row>
    <row r="39" spans="2:8" hidden="1" outlineLevel="1">
      <c r="B39" s="110" t="str">
        <f>"    "&amp;"Kontanter, bankinnskudd o.l."</f>
        <v xml:space="preserve">    Kontanter, bankinnskudd o.l.</v>
      </c>
      <c r="F39" s="76">
        <f>IFERROR(SUM(F40:F58),0)</f>
        <v>43829410.369999997</v>
      </c>
      <c r="G39" s="76">
        <f>IFERROR(SUM(G40:G58)," ")</f>
        <v>-9174393.9999999963</v>
      </c>
      <c r="H39" s="111">
        <f t="shared" si="1"/>
        <v>34655016.370000005</v>
      </c>
    </row>
    <row r="40" spans="2:8" hidden="1" outlineLevel="2">
      <c r="B40" s="112">
        <v>1322</v>
      </c>
      <c r="C40" s="113" t="s">
        <v>264</v>
      </c>
      <c r="D40" s="113">
        <v>362386</v>
      </c>
      <c r="E40" s="113"/>
      <c r="F40" s="114">
        <f t="shared" ref="F40:F58" si="4">IFERROR(D40+E40,"")</f>
        <v>362386</v>
      </c>
      <c r="G40" s="114">
        <v>10099</v>
      </c>
      <c r="H40" s="115">
        <f t="shared" si="1"/>
        <v>372485</v>
      </c>
    </row>
    <row r="41" spans="2:8" hidden="1" outlineLevel="2">
      <c r="B41" s="112">
        <v>1900</v>
      </c>
      <c r="C41" s="113" t="s">
        <v>265</v>
      </c>
      <c r="D41" s="113">
        <v>4215</v>
      </c>
      <c r="E41" s="113"/>
      <c r="F41" s="114">
        <f t="shared" si="4"/>
        <v>4215</v>
      </c>
      <c r="G41" s="114"/>
      <c r="H41" s="115">
        <f t="shared" si="1"/>
        <v>4215</v>
      </c>
    </row>
    <row r="42" spans="2:8" hidden="1" outlineLevel="2">
      <c r="B42" s="112">
        <v>1902</v>
      </c>
      <c r="C42" s="113" t="s">
        <v>266</v>
      </c>
      <c r="D42" s="113">
        <v>3018.57</v>
      </c>
      <c r="E42" s="113"/>
      <c r="F42" s="114">
        <f t="shared" si="4"/>
        <v>3018.57</v>
      </c>
      <c r="G42" s="114">
        <v>-3018.57</v>
      </c>
      <c r="H42" s="115">
        <f t="shared" si="1"/>
        <v>0</v>
      </c>
    </row>
    <row r="43" spans="2:8" hidden="1" outlineLevel="2">
      <c r="B43" s="112">
        <v>1903</v>
      </c>
      <c r="C43" s="113" t="s">
        <v>267</v>
      </c>
      <c r="D43" s="113">
        <v>2659.8</v>
      </c>
      <c r="E43" s="113"/>
      <c r="F43" s="114">
        <f t="shared" si="4"/>
        <v>2659.8</v>
      </c>
      <c r="G43" s="114">
        <v>-2570.14</v>
      </c>
      <c r="H43" s="115">
        <f t="shared" si="1"/>
        <v>89.660000000000309</v>
      </c>
    </row>
    <row r="44" spans="2:8" hidden="1" outlineLevel="2">
      <c r="B44" s="112">
        <v>1920</v>
      </c>
      <c r="C44" s="113" t="s">
        <v>269</v>
      </c>
      <c r="D44" s="113">
        <v>6998631.25</v>
      </c>
      <c r="E44" s="113"/>
      <c r="F44" s="114">
        <f t="shared" si="4"/>
        <v>6998631.25</v>
      </c>
      <c r="G44" s="114">
        <v>-2197443.84</v>
      </c>
      <c r="H44" s="115">
        <f t="shared" si="1"/>
        <v>4801187.41</v>
      </c>
    </row>
    <row r="45" spans="2:8" hidden="1" outlineLevel="2">
      <c r="B45" s="112">
        <v>1921</v>
      </c>
      <c r="C45" s="113" t="s">
        <v>270</v>
      </c>
      <c r="D45" s="113">
        <v>8884032.4199999999</v>
      </c>
      <c r="E45" s="113"/>
      <c r="F45" s="114">
        <f t="shared" si="4"/>
        <v>8884032.4199999999</v>
      </c>
      <c r="G45" s="114">
        <v>-8786418.0299999993</v>
      </c>
      <c r="H45" s="115">
        <f t="shared" si="1"/>
        <v>97614.390000000596</v>
      </c>
    </row>
    <row r="46" spans="2:8" hidden="1" outlineLevel="2">
      <c r="B46" s="112">
        <v>1922</v>
      </c>
      <c r="C46" s="113" t="s">
        <v>271</v>
      </c>
      <c r="D46" s="113">
        <v>2162.91</v>
      </c>
      <c r="E46" s="113"/>
      <c r="F46" s="114">
        <f t="shared" si="4"/>
        <v>2162.91</v>
      </c>
      <c r="G46" s="114">
        <v>3872.08</v>
      </c>
      <c r="H46" s="115">
        <f t="shared" si="1"/>
        <v>6034.99</v>
      </c>
    </row>
    <row r="47" spans="2:8" hidden="1" outlineLevel="2">
      <c r="B47" s="112">
        <v>1923</v>
      </c>
      <c r="C47" s="113" t="s">
        <v>272</v>
      </c>
      <c r="D47" s="113">
        <v>12102661.630000001</v>
      </c>
      <c r="E47" s="113"/>
      <c r="F47" s="114">
        <f t="shared" si="4"/>
        <v>12102661.630000001</v>
      </c>
      <c r="G47" s="114">
        <v>5271.38</v>
      </c>
      <c r="H47" s="115">
        <f t="shared" si="1"/>
        <v>12107933.010000002</v>
      </c>
    </row>
    <row r="48" spans="2:8" hidden="1" outlineLevel="2">
      <c r="B48" s="112">
        <v>1925</v>
      </c>
      <c r="C48" s="113" t="s">
        <v>273</v>
      </c>
      <c r="D48" s="113">
        <v>5105.4399999999996</v>
      </c>
      <c r="E48" s="113"/>
      <c r="F48" s="114">
        <f t="shared" si="4"/>
        <v>5105.4399999999996</v>
      </c>
      <c r="G48" s="114">
        <v>60695.34</v>
      </c>
      <c r="H48" s="115">
        <f t="shared" si="1"/>
        <v>65800.78</v>
      </c>
    </row>
    <row r="49" spans="2:8" hidden="1" outlineLevel="2">
      <c r="B49" s="112">
        <v>1926</v>
      </c>
      <c r="C49" s="113" t="s">
        <v>274</v>
      </c>
      <c r="D49" s="113">
        <v>2826.18</v>
      </c>
      <c r="E49" s="113"/>
      <c r="F49" s="114">
        <f t="shared" si="4"/>
        <v>2826.18</v>
      </c>
      <c r="G49" s="114">
        <v>851.46</v>
      </c>
      <c r="H49" s="115">
        <f t="shared" si="1"/>
        <v>3677.64</v>
      </c>
    </row>
    <row r="50" spans="2:8" hidden="1" outlineLevel="2">
      <c r="B50" s="112">
        <v>1927</v>
      </c>
      <c r="C50" s="113" t="s">
        <v>275</v>
      </c>
      <c r="D50" s="113">
        <v>363792.76</v>
      </c>
      <c r="E50" s="113"/>
      <c r="F50" s="114">
        <f t="shared" si="4"/>
        <v>363792.76</v>
      </c>
      <c r="G50" s="114">
        <v>407981.98</v>
      </c>
      <c r="H50" s="115">
        <f t="shared" si="1"/>
        <v>771774.74</v>
      </c>
    </row>
    <row r="51" spans="2:8" hidden="1" outlineLevel="2">
      <c r="B51" s="112">
        <v>1928</v>
      </c>
      <c r="C51" s="113" t="s">
        <v>276</v>
      </c>
      <c r="D51" s="113">
        <v>197648.81</v>
      </c>
      <c r="E51" s="113"/>
      <c r="F51" s="114">
        <f t="shared" si="4"/>
        <v>197648.81</v>
      </c>
      <c r="G51" s="114">
        <v>30646.85</v>
      </c>
      <c r="H51" s="115">
        <f t="shared" si="1"/>
        <v>228295.66</v>
      </c>
    </row>
    <row r="52" spans="2:8" hidden="1" outlineLevel="2">
      <c r="B52" s="112">
        <v>1934</v>
      </c>
      <c r="C52" s="113" t="s">
        <v>277</v>
      </c>
      <c r="D52" s="113">
        <v>465.36</v>
      </c>
      <c r="E52" s="113"/>
      <c r="F52" s="114">
        <f t="shared" si="4"/>
        <v>465.36</v>
      </c>
      <c r="G52" s="114">
        <v>0.2</v>
      </c>
      <c r="H52" s="115">
        <f t="shared" si="1"/>
        <v>465.56</v>
      </c>
    </row>
    <row r="53" spans="2:8" hidden="1" outlineLevel="2">
      <c r="B53" s="112">
        <v>1936</v>
      </c>
      <c r="C53" s="113" t="s">
        <v>278</v>
      </c>
      <c r="D53" s="113">
        <v>3227070.61</v>
      </c>
      <c r="E53" s="113"/>
      <c r="F53" s="114">
        <f t="shared" si="4"/>
        <v>3227070.61</v>
      </c>
      <c r="G53" s="114">
        <v>1216381.1100000001</v>
      </c>
      <c r="H53" s="115">
        <f t="shared" si="1"/>
        <v>4443451.72</v>
      </c>
    </row>
    <row r="54" spans="2:8" hidden="1" outlineLevel="2">
      <c r="B54" s="112">
        <v>1937</v>
      </c>
      <c r="C54" s="113" t="s">
        <v>279</v>
      </c>
      <c r="D54" s="113">
        <v>11084573.49</v>
      </c>
      <c r="E54" s="113"/>
      <c r="F54" s="114">
        <f t="shared" si="4"/>
        <v>11084573.49</v>
      </c>
      <c r="G54" s="114">
        <v>52888.81</v>
      </c>
      <c r="H54" s="115">
        <f t="shared" si="1"/>
        <v>11137462.300000001</v>
      </c>
    </row>
    <row r="55" spans="2:8" hidden="1" outlineLevel="2">
      <c r="B55" s="112">
        <v>1946</v>
      </c>
      <c r="C55" s="113" t="s">
        <v>282</v>
      </c>
      <c r="D55" s="113">
        <v>29961.27</v>
      </c>
      <c r="E55" s="113"/>
      <c r="F55" s="114">
        <f t="shared" si="4"/>
        <v>29961.27</v>
      </c>
      <c r="G55" s="114">
        <v>-2814.29</v>
      </c>
      <c r="H55" s="115">
        <f t="shared" si="1"/>
        <v>27146.98</v>
      </c>
    </row>
    <row r="56" spans="2:8" hidden="1" outlineLevel="2">
      <c r="B56" s="112">
        <v>1947</v>
      </c>
      <c r="C56" s="113" t="s">
        <v>283</v>
      </c>
      <c r="D56" s="113">
        <v>30701.58</v>
      </c>
      <c r="E56" s="113"/>
      <c r="F56" s="114">
        <f t="shared" si="4"/>
        <v>30701.58</v>
      </c>
      <c r="G56" s="114">
        <v>13.38</v>
      </c>
      <c r="H56" s="115">
        <f t="shared" si="1"/>
        <v>30714.960000000003</v>
      </c>
    </row>
    <row r="57" spans="2:8" hidden="1" outlineLevel="2">
      <c r="B57" s="112">
        <v>1950</v>
      </c>
      <c r="C57" s="113" t="s">
        <v>284</v>
      </c>
      <c r="D57" s="113">
        <v>526135.72</v>
      </c>
      <c r="E57" s="113"/>
      <c r="F57" s="114">
        <f t="shared" si="4"/>
        <v>526135.72</v>
      </c>
      <c r="G57" s="114">
        <v>29169.279999999999</v>
      </c>
      <c r="H57" s="115">
        <f t="shared" si="1"/>
        <v>555305</v>
      </c>
    </row>
    <row r="58" spans="2:8" hidden="1" outlineLevel="2">
      <c r="B58" s="112">
        <v>1970</v>
      </c>
      <c r="C58" s="113" t="s">
        <v>285</v>
      </c>
      <c r="D58" s="113">
        <v>1361.57</v>
      </c>
      <c r="E58" s="113"/>
      <c r="F58" s="114">
        <f t="shared" si="4"/>
        <v>1361.57</v>
      </c>
      <c r="G58" s="114"/>
      <c r="H58" s="115">
        <f t="shared" si="1"/>
        <v>1361.57</v>
      </c>
    </row>
    <row r="59" spans="2:8">
      <c r="B59" s="48" t="str">
        <f>"Sum " &amp; LOWER("Omløpsmidler")</f>
        <v>Sum omløpsmidler</v>
      </c>
      <c r="C59" s="49"/>
      <c r="D59" s="49"/>
      <c r="E59" s="49"/>
      <c r="F59" s="51">
        <f ca="1">SUM(OSRRefF10_1x_0)</f>
        <v>84269534.590000004</v>
      </c>
      <c r="G59" s="51">
        <f ca="1">SUM(OSRRefG10_1x_0)</f>
        <v>-10064581.169999996</v>
      </c>
      <c r="H59" s="116">
        <f ca="1">SUM(OSRRefH10_1x_0)</f>
        <v>74204953.420000002</v>
      </c>
    </row>
    <row r="60" spans="2:8" ht="9.75" customHeight="1">
      <c r="B60" s="23"/>
      <c r="C60" s="1"/>
      <c r="D60" s="1"/>
      <c r="E60" s="1"/>
      <c r="F60" s="108"/>
      <c r="G60" s="108"/>
      <c r="H60" s="109"/>
    </row>
    <row r="61" spans="2:8">
      <c r="B61" s="117" t="s">
        <v>39</v>
      </c>
      <c r="C61" s="118"/>
      <c r="D61" s="118"/>
      <c r="E61" s="118"/>
      <c r="F61" s="119">
        <f ca="1">SUM(F16,F59)</f>
        <v>90247670.010000005</v>
      </c>
      <c r="G61" s="119">
        <f ca="1">SUM(G16,G59)</f>
        <v>-10115625.999999996</v>
      </c>
      <c r="H61" s="120">
        <f ca="1">SUM(H16,H59)</f>
        <v>80132044.010000005</v>
      </c>
    </row>
    <row r="62" spans="2:8" ht="11.25" customHeight="1">
      <c r="B62" s="27"/>
      <c r="F62" s="76"/>
      <c r="G62" s="76"/>
      <c r="H62" s="121"/>
    </row>
    <row r="63" spans="2:8">
      <c r="B63" s="23" t="s">
        <v>287</v>
      </c>
      <c r="F63" s="76"/>
      <c r="G63" s="76"/>
      <c r="H63" s="121"/>
    </row>
    <row r="64" spans="2:8" ht="11.25" customHeight="1">
      <c r="B64" s="23"/>
      <c r="F64" s="76"/>
      <c r="G64" s="76"/>
      <c r="H64" s="121"/>
    </row>
    <row r="65" spans="2:8" collapsed="1">
      <c r="B65" s="57" t="s">
        <v>47</v>
      </c>
      <c r="F65" s="108"/>
      <c r="G65" s="108"/>
      <c r="H65" s="109"/>
    </row>
    <row r="66" spans="2:8" hidden="1" outlineLevel="1">
      <c r="B66" s="110" t="str">
        <f>"    "&amp;"Egenkapital"</f>
        <v xml:space="preserve">    Egenkapital</v>
      </c>
      <c r="F66" s="76">
        <f>IFERROR(SUM(F67:F72),0)</f>
        <v>72294048.900000006</v>
      </c>
      <c r="G66" s="76">
        <f>IFERROR(SUM(G67:G72),0)</f>
        <v>3341778.59</v>
      </c>
      <c r="H66" s="111">
        <f t="shared" ref="H66:H72" si="5">IFERROR(F66+G66,0)</f>
        <v>75635827.49000001</v>
      </c>
    </row>
    <row r="67" spans="2:8" hidden="1" outlineLevel="2">
      <c r="B67" s="112">
        <v>2000</v>
      </c>
      <c r="C67" s="113" t="s">
        <v>47</v>
      </c>
      <c r="D67" s="113">
        <f>-N(-25836158.97)</f>
        <v>25836158.969999999</v>
      </c>
      <c r="E67" s="113">
        <f t="shared" ref="E67:E72" si="6">-N(0)</f>
        <v>0</v>
      </c>
      <c r="F67" s="114">
        <f t="shared" ref="F67:F72" si="7">IFERROR(D67+E67,"")</f>
        <v>25836158.969999999</v>
      </c>
      <c r="G67" s="114">
        <f>IFERROR(--1674220.63,0)</f>
        <v>1674220.63</v>
      </c>
      <c r="H67" s="115">
        <f t="shared" si="5"/>
        <v>27510379.599999998</v>
      </c>
    </row>
    <row r="68" spans="2:8" hidden="1" outlineLevel="2">
      <c r="B68" s="112">
        <v>2066</v>
      </c>
      <c r="C68" s="113" t="s">
        <v>48</v>
      </c>
      <c r="D68" s="113">
        <f>-N(-15907665)</f>
        <v>15907665</v>
      </c>
      <c r="E68" s="113">
        <f t="shared" si="6"/>
        <v>0</v>
      </c>
      <c r="F68" s="114">
        <f t="shared" si="7"/>
        <v>15907665</v>
      </c>
      <c r="G68" s="114">
        <f>IFERROR(0,0)</f>
        <v>0</v>
      </c>
      <c r="H68" s="115">
        <f t="shared" si="5"/>
        <v>15907665</v>
      </c>
    </row>
    <row r="69" spans="2:8" hidden="1" outlineLevel="2">
      <c r="B69" s="112">
        <v>2070</v>
      </c>
      <c r="C69" s="113" t="s">
        <v>49</v>
      </c>
      <c r="D69" s="113">
        <f>-N(-25733648.56)</f>
        <v>25733648.559999999</v>
      </c>
      <c r="E69" s="113">
        <f t="shared" si="6"/>
        <v>0</v>
      </c>
      <c r="F69" s="114">
        <f t="shared" si="7"/>
        <v>25733648.559999999</v>
      </c>
      <c r="G69" s="114">
        <f>IFERROR(--740114.92,0)</f>
        <v>740114.92</v>
      </c>
      <c r="H69" s="115">
        <f t="shared" si="5"/>
        <v>26473763.48</v>
      </c>
    </row>
    <row r="70" spans="2:8" hidden="1" outlineLevel="2">
      <c r="B70" s="112">
        <v>2071</v>
      </c>
      <c r="C70" s="113" t="s">
        <v>32</v>
      </c>
      <c r="D70" s="113">
        <f>-N(-2300000)</f>
        <v>2300000</v>
      </c>
      <c r="E70" s="113">
        <f t="shared" si="6"/>
        <v>0</v>
      </c>
      <c r="F70" s="114">
        <f t="shared" si="7"/>
        <v>2300000</v>
      </c>
      <c r="G70" s="114">
        <f>IFERROR(0,0)</f>
        <v>0</v>
      </c>
      <c r="H70" s="115">
        <f t="shared" si="5"/>
        <v>2300000</v>
      </c>
    </row>
    <row r="71" spans="2:8" hidden="1" outlineLevel="2">
      <c r="B71" s="112">
        <v>2072</v>
      </c>
      <c r="C71" s="113" t="s">
        <v>33</v>
      </c>
      <c r="D71" s="113">
        <f>-N(-2289711.76)</f>
        <v>2289711.7599999998</v>
      </c>
      <c r="E71" s="113">
        <f t="shared" si="6"/>
        <v>0</v>
      </c>
      <c r="F71" s="114">
        <f t="shared" si="7"/>
        <v>2289711.7599999998</v>
      </c>
      <c r="G71" s="114">
        <f>IFERROR(--707610.66,0)</f>
        <v>707610.66</v>
      </c>
      <c r="H71" s="115">
        <f t="shared" si="5"/>
        <v>2997322.42</v>
      </c>
    </row>
    <row r="72" spans="2:8" hidden="1" outlineLevel="2">
      <c r="B72" s="112">
        <v>2073</v>
      </c>
      <c r="C72" s="113" t="s">
        <v>50</v>
      </c>
      <c r="D72" s="113">
        <f>-N(-226864.61)</f>
        <v>226864.61</v>
      </c>
      <c r="E72" s="113">
        <f t="shared" si="6"/>
        <v>0</v>
      </c>
      <c r="F72" s="114">
        <f t="shared" si="7"/>
        <v>226864.61</v>
      </c>
      <c r="G72" s="114">
        <f>IFERROR(--219832.38,0)</f>
        <v>219832.38</v>
      </c>
      <c r="H72" s="115">
        <f t="shared" si="5"/>
        <v>446696.99</v>
      </c>
    </row>
    <row r="73" spans="2:8">
      <c r="B73" s="122" t="s">
        <v>291</v>
      </c>
      <c r="C73" s="113"/>
      <c r="D73" s="113"/>
      <c r="E73" s="113">
        <f>-N(0)</f>
        <v>0</v>
      </c>
      <c r="F73" s="114">
        <f>IFERROR(D73+E73,"")</f>
        <v>0</v>
      </c>
      <c r="G73" s="114">
        <f>IFERROR(--0.01,0)</f>
        <v>0.01</v>
      </c>
      <c r="H73" s="115">
        <f>IFERROR(F73+G73,0)</f>
        <v>0.01</v>
      </c>
    </row>
    <row r="74" spans="2:8">
      <c r="B74" s="48" t="str">
        <f>"Sum " &amp; LOWER("Egenkapital")</f>
        <v>Sum egenkapital</v>
      </c>
      <c r="C74" s="49"/>
      <c r="D74" s="49"/>
      <c r="E74" s="49"/>
      <c r="F74" s="123">
        <f>SUM(F66)+SUM(F73)</f>
        <v>72294048.900000006</v>
      </c>
      <c r="G74" s="123">
        <f>SUM(G66)+SUM(G73)</f>
        <v>3341778.5999999996</v>
      </c>
      <c r="H74" s="116">
        <f>SUM(H66)+SUM(H73)</f>
        <v>75635827.500000015</v>
      </c>
    </row>
    <row r="75" spans="2:8" ht="9.75" customHeight="1">
      <c r="B75" s="23"/>
      <c r="C75" s="1"/>
      <c r="D75" s="1"/>
      <c r="E75" s="1"/>
      <c r="F75" s="108"/>
      <c r="G75" s="108"/>
      <c r="H75" s="109"/>
    </row>
    <row r="76" spans="2:8" collapsed="1">
      <c r="B76" s="57" t="s">
        <v>292</v>
      </c>
      <c r="F76" s="108"/>
      <c r="G76" s="108"/>
      <c r="H76" s="109"/>
    </row>
    <row r="77" spans="2:8" hidden="1" outlineLevel="1">
      <c r="B77" s="110" t="str">
        <f>"    "&amp;"Avsetning for forpliktelser"</f>
        <v xml:space="preserve">    Avsetning for forpliktelser</v>
      </c>
      <c r="F77" s="76">
        <f>IFERROR(SUM(F78:F80),0)</f>
        <v>1321341.51</v>
      </c>
      <c r="G77" s="76">
        <f>IFERROR(SUM(G78:G80),0)</f>
        <v>-1288623.8500000001</v>
      </c>
      <c r="H77" s="111">
        <f>IFERROR(F77+G77,0)</f>
        <v>32717.659999999916</v>
      </c>
    </row>
    <row r="78" spans="2:8" hidden="1" outlineLevel="2">
      <c r="B78" s="112">
        <v>2100</v>
      </c>
      <c r="C78" s="113" t="s">
        <v>293</v>
      </c>
      <c r="D78" s="113">
        <f>-N(-1031608)</f>
        <v>1031608</v>
      </c>
      <c r="E78" s="113">
        <f>-N(0)</f>
        <v>0</v>
      </c>
      <c r="F78" s="114">
        <f>IFERROR(D78+E78,"")</f>
        <v>1031608</v>
      </c>
      <c r="G78" s="114">
        <f>IFERROR(--18138,0)</f>
        <v>18138</v>
      </c>
      <c r="H78" s="115">
        <f>IFERROR(F78+G78,0)</f>
        <v>1049746</v>
      </c>
    </row>
    <row r="79" spans="2:8" hidden="1" outlineLevel="2">
      <c r="B79" s="112">
        <v>2101</v>
      </c>
      <c r="C79" s="113" t="s">
        <v>294</v>
      </c>
      <c r="D79" s="113">
        <f>-N(-314810.33)</f>
        <v>314810.33</v>
      </c>
      <c r="E79" s="113">
        <f>-N(0)</f>
        <v>0</v>
      </c>
      <c r="F79" s="114">
        <f>IFERROR(D79+E79,"")</f>
        <v>314810.33</v>
      </c>
      <c r="G79" s="114">
        <f>IFERROR(-1222814.09,0)</f>
        <v>-1222814.0900000001</v>
      </c>
      <c r="H79" s="115">
        <f>IFERROR(F79+G79,0)</f>
        <v>-908003.76</v>
      </c>
    </row>
    <row r="80" spans="2:8" hidden="1" outlineLevel="2">
      <c r="B80" s="112">
        <v>2102</v>
      </c>
      <c r="C80" s="113" t="s">
        <v>295</v>
      </c>
      <c r="D80" s="113">
        <f>-N(25076.82)</f>
        <v>-25076.82</v>
      </c>
      <c r="E80" s="113">
        <f>-N(0)</f>
        <v>0</v>
      </c>
      <c r="F80" s="114">
        <f>IFERROR(D80+E80,"")</f>
        <v>-25076.82</v>
      </c>
      <c r="G80" s="114">
        <f>IFERROR(-83947.76,0)</f>
        <v>-83947.76</v>
      </c>
      <c r="H80" s="115">
        <f>IFERROR(F80+G80,0)</f>
        <v>-109024.57999999999</v>
      </c>
    </row>
    <row r="81" spans="2:8">
      <c r="B81" s="48" t="str">
        <f>"Sum " &amp; LOWER("Avsetning for forpliktelser")</f>
        <v>Sum avsetning for forpliktelser</v>
      </c>
      <c r="C81" s="49"/>
      <c r="D81" s="49"/>
      <c r="E81" s="49"/>
      <c r="F81" s="51">
        <f>SUM(F77)</f>
        <v>1321341.51</v>
      </c>
      <c r="G81" s="51">
        <f>SUM(G77)</f>
        <v>-1288623.8500000001</v>
      </c>
      <c r="H81" s="116">
        <f>SUM(H77)</f>
        <v>32717.659999999916</v>
      </c>
    </row>
    <row r="82" spans="2:8" ht="15" customHeight="1">
      <c r="B82" s="23"/>
      <c r="C82" s="1"/>
      <c r="D82" s="1"/>
      <c r="E82" s="1"/>
      <c r="F82" s="108"/>
      <c r="G82" s="108"/>
      <c r="H82" s="109"/>
    </row>
    <row r="83" spans="2:8" collapsed="1">
      <c r="B83" s="57" t="s">
        <v>296</v>
      </c>
      <c r="F83" s="108"/>
      <c r="G83" s="108"/>
      <c r="H83" s="109"/>
    </row>
    <row r="84" spans="2:8" hidden="1" outlineLevel="1">
      <c r="B84" s="110" t="str">
        <f>"    "&amp;"Leverandørgjeld"</f>
        <v xml:space="preserve">    Leverandørgjeld</v>
      </c>
      <c r="F84" s="76">
        <f>IFERROR(SUM(F85:F86),0)</f>
        <v>1016139.41</v>
      </c>
      <c r="G84" s="76">
        <f>IFERROR(SUM(G85:G86),0)</f>
        <v>-21940</v>
      </c>
      <c r="H84" s="111">
        <f t="shared" ref="H84:H101" si="8">IFERROR(F84+G84,0)</f>
        <v>994199.41</v>
      </c>
    </row>
    <row r="85" spans="2:8" hidden="1" outlineLevel="2">
      <c r="B85" s="112">
        <v>2400</v>
      </c>
      <c r="C85" s="113" t="s">
        <v>297</v>
      </c>
      <c r="D85" s="113">
        <f>-N(-1015601.41)</f>
        <v>1015601.41</v>
      </c>
      <c r="E85" s="113">
        <f>-N(0)</f>
        <v>0</v>
      </c>
      <c r="F85" s="114">
        <f>IFERROR(D85+E85,"")</f>
        <v>1015601.41</v>
      </c>
      <c r="G85" s="114">
        <f>IFERROR(-18194,0)</f>
        <v>-18194</v>
      </c>
      <c r="H85" s="115">
        <f t="shared" si="8"/>
        <v>997407.41</v>
      </c>
    </row>
    <row r="86" spans="2:8" hidden="1" outlineLevel="2">
      <c r="B86" s="112">
        <v>2405</v>
      </c>
      <c r="C86" s="113" t="s">
        <v>298</v>
      </c>
      <c r="D86" s="113">
        <f>-N(-538)</f>
        <v>538</v>
      </c>
      <c r="E86" s="113">
        <f>-N(0)</f>
        <v>0</v>
      </c>
      <c r="F86" s="114">
        <f>IFERROR(D86+E86,"")</f>
        <v>538</v>
      </c>
      <c r="G86" s="114">
        <f>IFERROR(-3746,0)</f>
        <v>-3746</v>
      </c>
      <c r="H86" s="115">
        <f t="shared" si="8"/>
        <v>-3208</v>
      </c>
    </row>
    <row r="87" spans="2:8" hidden="1" outlineLevel="1">
      <c r="B87" s="110" t="str">
        <f>"    "&amp;"Skattetrekk og andre trekk"</f>
        <v xml:space="preserve">    Skattetrekk og andre trekk</v>
      </c>
      <c r="F87" s="76">
        <f>IFERROR(SUM(F88),0)</f>
        <v>463716</v>
      </c>
      <c r="G87" s="76">
        <f>IFERROR(SUM(G88),0)</f>
        <v>91589</v>
      </c>
      <c r="H87" s="111">
        <f t="shared" si="8"/>
        <v>555305</v>
      </c>
    </row>
    <row r="88" spans="2:8" hidden="1" outlineLevel="2">
      <c r="B88" s="112">
        <v>2600</v>
      </c>
      <c r="C88" s="113" t="s">
        <v>299</v>
      </c>
      <c r="D88" s="113">
        <f>-N(-463716)</f>
        <v>463716</v>
      </c>
      <c r="E88" s="113">
        <f>-N(0)</f>
        <v>0</v>
      </c>
      <c r="F88" s="114">
        <f>IFERROR(D88+E88,"")</f>
        <v>463716</v>
      </c>
      <c r="G88" s="114">
        <f>IFERROR(--91589,0)</f>
        <v>91589</v>
      </c>
      <c r="H88" s="115">
        <f t="shared" si="8"/>
        <v>555305</v>
      </c>
    </row>
    <row r="89" spans="2:8" hidden="1" outlineLevel="1">
      <c r="B89" s="110" t="str">
        <f>"    "&amp;"Skyldige offentlige avgifter"</f>
        <v xml:space="preserve">    Skyldige offentlige avgifter</v>
      </c>
      <c r="F89" s="76">
        <f>IFERROR(SUM(F90:F91),0)</f>
        <v>440817</v>
      </c>
      <c r="G89" s="76">
        <f>IFERROR(SUM(G90:G91),0)</f>
        <v>-10311</v>
      </c>
      <c r="H89" s="111">
        <f t="shared" si="8"/>
        <v>430506</v>
      </c>
    </row>
    <row r="90" spans="2:8" hidden="1" outlineLevel="2">
      <c r="B90" s="112">
        <v>2770</v>
      </c>
      <c r="C90" s="113" t="s">
        <v>300</v>
      </c>
      <c r="D90" s="113">
        <f>-N(-277633)</f>
        <v>277633</v>
      </c>
      <c r="E90" s="113">
        <f>-N(0)</f>
        <v>0</v>
      </c>
      <c r="F90" s="114">
        <f>IFERROR(D90+E90,"")</f>
        <v>277633</v>
      </c>
      <c r="G90" s="114">
        <f>IFERROR(-23256,0)</f>
        <v>-23256</v>
      </c>
      <c r="H90" s="115">
        <f t="shared" si="8"/>
        <v>254377</v>
      </c>
    </row>
    <row r="91" spans="2:8" hidden="1" outlineLevel="2">
      <c r="B91" s="112">
        <v>2780</v>
      </c>
      <c r="C91" s="113" t="s">
        <v>301</v>
      </c>
      <c r="D91" s="113">
        <f>-N(-163184)</f>
        <v>163184</v>
      </c>
      <c r="E91" s="113">
        <f>-N(0)</f>
        <v>0</v>
      </c>
      <c r="F91" s="114">
        <f>IFERROR(D91+E91,"")</f>
        <v>163184</v>
      </c>
      <c r="G91" s="114">
        <f>IFERROR(--12945,0)</f>
        <v>12945</v>
      </c>
      <c r="H91" s="115">
        <f t="shared" si="8"/>
        <v>176129</v>
      </c>
    </row>
    <row r="92" spans="2:8" hidden="1" outlineLevel="1">
      <c r="B92" s="110" t="str">
        <f>"    "&amp;"Annen kortsiktig gjeld"</f>
        <v xml:space="preserve">    Annen kortsiktig gjeld</v>
      </c>
      <c r="F92" s="76">
        <f>IFERROR(SUM(F93:F101),0)</f>
        <v>14711607.189999999</v>
      </c>
      <c r="G92" s="76">
        <f>IFERROR(SUM(G93:G101),0)</f>
        <v>-12228118.75</v>
      </c>
      <c r="H92" s="111">
        <f t="shared" si="8"/>
        <v>2483488.4399999995</v>
      </c>
    </row>
    <row r="93" spans="2:8" hidden="1" outlineLevel="2">
      <c r="B93" s="112">
        <v>1780</v>
      </c>
      <c r="C93" s="113" t="s">
        <v>302</v>
      </c>
      <c r="D93" s="113">
        <f>-N(860360)</f>
        <v>-860360</v>
      </c>
      <c r="E93" s="113">
        <f t="shared" ref="E93:E101" si="9">-N(0)</f>
        <v>0</v>
      </c>
      <c r="F93" s="114">
        <f t="shared" ref="F93:F101" si="10">IFERROR(D93+E93,"")</f>
        <v>-860360</v>
      </c>
      <c r="G93" s="114">
        <f>IFERROR(--711365.2,0)</f>
        <v>711365.2</v>
      </c>
      <c r="H93" s="115">
        <f t="shared" si="8"/>
        <v>-148994.80000000005</v>
      </c>
    </row>
    <row r="94" spans="2:8" hidden="1" outlineLevel="2">
      <c r="B94" s="112">
        <v>1932</v>
      </c>
      <c r="C94" s="113" t="s">
        <v>303</v>
      </c>
      <c r="D94" s="113">
        <f>-N(-5897.5)</f>
        <v>5897.5</v>
      </c>
      <c r="E94" s="113">
        <f t="shared" si="9"/>
        <v>0</v>
      </c>
      <c r="F94" s="114">
        <f t="shared" si="10"/>
        <v>5897.5</v>
      </c>
      <c r="G94" s="114">
        <f>IFERROR(--27044.63,0)</f>
        <v>27044.63</v>
      </c>
      <c r="H94" s="115">
        <f t="shared" si="8"/>
        <v>32942.130000000005</v>
      </c>
    </row>
    <row r="95" spans="2:8" hidden="1" outlineLevel="2">
      <c r="B95" s="112">
        <v>1933</v>
      </c>
      <c r="C95" s="113" t="s">
        <v>304</v>
      </c>
      <c r="D95" s="113">
        <f>-N(-4073.1)</f>
        <v>4073.1</v>
      </c>
      <c r="E95" s="113">
        <f t="shared" si="9"/>
        <v>0</v>
      </c>
      <c r="F95" s="114">
        <f t="shared" si="10"/>
        <v>4073.1</v>
      </c>
      <c r="G95" s="114">
        <f>IFERROR(-947.23,0)</f>
        <v>-947.23</v>
      </c>
      <c r="H95" s="115">
        <f t="shared" si="8"/>
        <v>3125.87</v>
      </c>
    </row>
    <row r="96" spans="2:8" hidden="1" outlineLevel="2">
      <c r="B96" s="112">
        <v>2920</v>
      </c>
      <c r="C96" s="113" t="s">
        <v>306</v>
      </c>
      <c r="D96" s="113">
        <f>-N(-13239055.59)</f>
        <v>13239055.59</v>
      </c>
      <c r="E96" s="113">
        <f t="shared" si="9"/>
        <v>0</v>
      </c>
      <c r="F96" s="114">
        <f t="shared" si="10"/>
        <v>13239055.59</v>
      </c>
      <c r="G96" s="114">
        <f>IFERROR(-13239055.59,0)</f>
        <v>-13239055.59</v>
      </c>
      <c r="H96" s="115">
        <f t="shared" si="8"/>
        <v>0</v>
      </c>
    </row>
    <row r="97" spans="2:8" hidden="1" outlineLevel="2">
      <c r="B97" s="112">
        <v>2940</v>
      </c>
      <c r="C97" s="113" t="s">
        <v>92</v>
      </c>
      <c r="D97" s="113">
        <f>-N(-1441165)</f>
        <v>1441165</v>
      </c>
      <c r="E97" s="113">
        <f t="shared" si="9"/>
        <v>0</v>
      </c>
      <c r="F97" s="114">
        <f t="shared" si="10"/>
        <v>1441165</v>
      </c>
      <c r="G97" s="114">
        <f>IFERROR(--39243,0)</f>
        <v>39243</v>
      </c>
      <c r="H97" s="115">
        <f t="shared" si="8"/>
        <v>1480408</v>
      </c>
    </row>
    <row r="98" spans="2:8" hidden="1" outlineLevel="2">
      <c r="B98" s="112">
        <v>2960</v>
      </c>
      <c r="C98" s="113" t="s">
        <v>307</v>
      </c>
      <c r="D98" s="113">
        <f>-N(-53250)</f>
        <v>53250</v>
      </c>
      <c r="E98" s="113">
        <f t="shared" si="9"/>
        <v>0</v>
      </c>
      <c r="F98" s="114">
        <f t="shared" si="10"/>
        <v>53250</v>
      </c>
      <c r="G98" s="114">
        <f>IFERROR(-48750,0)</f>
        <v>-48750</v>
      </c>
      <c r="H98" s="115">
        <f t="shared" si="8"/>
        <v>4500</v>
      </c>
    </row>
    <row r="99" spans="2:8" hidden="1" outlineLevel="2">
      <c r="B99" s="112">
        <v>2970</v>
      </c>
      <c r="C99" s="113" t="s">
        <v>309</v>
      </c>
      <c r="D99" s="113">
        <f>-N(0)</f>
        <v>0</v>
      </c>
      <c r="E99" s="113">
        <f t="shared" si="9"/>
        <v>0</v>
      </c>
      <c r="F99" s="114">
        <f t="shared" si="10"/>
        <v>0</v>
      </c>
      <c r="G99" s="114">
        <f>IFERROR(--775558.24,0)</f>
        <v>775558.24</v>
      </c>
      <c r="H99" s="115">
        <f t="shared" si="8"/>
        <v>775558.24</v>
      </c>
    </row>
    <row r="100" spans="2:8" hidden="1" outlineLevel="2">
      <c r="B100" s="112">
        <v>2990</v>
      </c>
      <c r="C100" s="113" t="s">
        <v>311</v>
      </c>
      <c r="D100" s="113">
        <f>-N(0)</f>
        <v>0</v>
      </c>
      <c r="E100" s="113">
        <f t="shared" si="9"/>
        <v>0</v>
      </c>
      <c r="F100" s="114">
        <f t="shared" si="10"/>
        <v>0</v>
      </c>
      <c r="G100" s="114">
        <f>IFERROR(0,0)</f>
        <v>0</v>
      </c>
      <c r="H100" s="115">
        <f t="shared" si="8"/>
        <v>0</v>
      </c>
    </row>
    <row r="101" spans="2:8" hidden="1" outlineLevel="2">
      <c r="B101" s="112">
        <v>2993</v>
      </c>
      <c r="C101" s="113" t="s">
        <v>312</v>
      </c>
      <c r="D101" s="113">
        <f>-N(-828526)</f>
        <v>828526</v>
      </c>
      <c r="E101" s="113">
        <f t="shared" si="9"/>
        <v>0</v>
      </c>
      <c r="F101" s="114">
        <f t="shared" si="10"/>
        <v>828526</v>
      </c>
      <c r="G101" s="114">
        <f>IFERROR(-492577,0)</f>
        <v>-492577</v>
      </c>
      <c r="H101" s="115">
        <f t="shared" si="8"/>
        <v>335949</v>
      </c>
    </row>
    <row r="102" spans="2:8">
      <c r="B102" s="48" t="str">
        <f>"Sum " &amp; LOWER("Kortsiktig gjeld")</f>
        <v>Sum kortsiktig gjeld</v>
      </c>
      <c r="C102" s="49"/>
      <c r="D102" s="49"/>
      <c r="E102" s="49"/>
      <c r="F102" s="51">
        <f ca="1">SUM(OSRRefF25_1x_0)</f>
        <v>16632279.6</v>
      </c>
      <c r="G102" s="51">
        <f ca="1">SUM(OSRRefG25_1x_0)</f>
        <v>-12168780.75</v>
      </c>
      <c r="H102" s="116">
        <f ca="1">SUM(OSRRefH25_1x_0)</f>
        <v>4463498.8499999996</v>
      </c>
    </row>
    <row r="103" spans="2:8" ht="15" customHeight="1">
      <c r="B103" s="23"/>
      <c r="C103" s="1"/>
      <c r="D103" s="1"/>
      <c r="E103" s="1"/>
      <c r="F103" s="108"/>
      <c r="G103" s="108"/>
      <c r="H103" s="109"/>
    </row>
    <row r="104" spans="2:8">
      <c r="B104" s="117" t="s">
        <v>313</v>
      </c>
      <c r="C104" s="118"/>
      <c r="D104" s="118"/>
      <c r="E104" s="118"/>
      <c r="F104" s="119">
        <f ca="1">SUM(F74)+SUM(F81,F102)</f>
        <v>90247670.010000005</v>
      </c>
      <c r="G104" s="119">
        <f ca="1">SUM(G74)+SUM(G81,G102)</f>
        <v>-10115626</v>
      </c>
      <c r="H104" s="124">
        <f ca="1">SUM(H74)+SUM(H81,H102)</f>
        <v>80132044.01000002</v>
      </c>
    </row>
    <row r="106" spans="2:8">
      <c r="C106" s="97"/>
    </row>
  </sheetData>
  <pageMargins left="0.25" right="0.25" top="0.75" bottom="0.75" header="0.3" footer="0.3"/>
  <pageSetup paperSize="9" scale="96" fitToHeight="0" orientation="portrait"/>
  <headerFooter>
    <oddFooter>&amp;RSide &amp;P av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8f8e965f-fce1-4b2f-b6fe-37a65b9a316d">
      <UserInfo>
        <DisplayName/>
        <AccountId xsi:nil="true"/>
        <AccountType/>
      </UserInfo>
    </SharedWithUsers>
    <lcf76f155ced4ddcb4097134ff3c332f xmlns="2b7eb382-9ce4-44f0-9f91-8e1d3bd315bf">
      <Terms xmlns="http://schemas.microsoft.com/office/infopath/2007/PartnerControls"/>
    </lcf76f155ced4ddcb4097134ff3c332f>
    <TaxCatchAll xmlns="8f8e965f-fce1-4b2f-b6fe-37a65b9a316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FF5F0BF1AAC664A94416CAFED72A53C" ma:contentTypeVersion="16" ma:contentTypeDescription="Opprett et nytt dokument." ma:contentTypeScope="" ma:versionID="4d76cac798e05d231a3f28e31c61335f">
  <xsd:schema xmlns:xsd="http://www.w3.org/2001/XMLSchema" xmlns:xs="http://www.w3.org/2001/XMLSchema" xmlns:p="http://schemas.microsoft.com/office/2006/metadata/properties" xmlns:ns2="2b7eb382-9ce4-44f0-9f91-8e1d3bd315bf" xmlns:ns3="8f8e965f-fce1-4b2f-b6fe-37a65b9a316d" targetNamespace="http://schemas.microsoft.com/office/2006/metadata/properties" ma:root="true" ma:fieldsID="61af70f2c6526980f12db948015dd2d9" ns2:_="" ns3:_="">
    <xsd:import namespace="2b7eb382-9ce4-44f0-9f91-8e1d3bd315bf"/>
    <xsd:import namespace="8f8e965f-fce1-4b2f-b6fe-37a65b9a31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7eb382-9ce4-44f0-9f91-8e1d3bd315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Bildemerkelapper" ma:readOnly="false" ma:fieldId="{5cf76f15-5ced-4ddc-b409-7134ff3c332f}" ma:taxonomyMulti="true" ma:sspId="070db14a-97d6-45dd-89ad-a6419caea50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8e965f-fce1-4b2f-b6fe-37a65b9a316d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c6908555-43fe-414f-92af-ca1de25adb39}" ma:internalName="TaxCatchAll" ma:showField="CatchAllData" ma:web="8f8e965f-fce1-4b2f-b6fe-37a65b9a31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9691211-2040-4FD5-9D6C-274FE9CBB227}"/>
</file>

<file path=customXml/itemProps2.xml><?xml version="1.0" encoding="utf-8"?>
<ds:datastoreItem xmlns:ds="http://schemas.openxmlformats.org/officeDocument/2006/customXml" ds:itemID="{D16910D2-08D7-4AD0-8508-0554F9AF439E}"/>
</file>

<file path=customXml/itemProps3.xml><?xml version="1.0" encoding="utf-8"?>
<ds:datastoreItem xmlns:ds="http://schemas.openxmlformats.org/officeDocument/2006/customXml" ds:itemID="{8FE7922C-E33C-4087-A5B9-9ABFAAFC20C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Erlend Frøen</dc:creator>
  <cp:keywords/>
  <dc:description/>
  <cp:lastModifiedBy>Terje Bjørkås</cp:lastModifiedBy>
  <cp:revision/>
  <dcterms:created xsi:type="dcterms:W3CDTF">2015-06-05T18:19:34Z</dcterms:created>
  <dcterms:modified xsi:type="dcterms:W3CDTF">2024-03-22T12:59:27Z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xd_ProgID">
    <vt:lpwstr/>
  </property>
  <property fmtid="{D5CDD505-2E9C-101B-9397-08002B2CF9AE}" pid="3" name="MediaServiceImageTags">
    <vt:lpwstr/>
  </property>
  <property fmtid="{D5CDD505-2E9C-101B-9397-08002B2CF9AE}" pid="4" name="ContentTypeId">
    <vt:lpwstr>0x0101000FF5F0BF1AAC664A94416CAFED72A53C</vt:lpwstr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</Properties>
</file>